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2" yWindow="96" windowWidth="7824" windowHeight="5712" activeTab="0"/>
  </bookViews>
  <sheets>
    <sheet name="Kansi" sheetId="1" r:id="rId1"/>
    <sheet name="ET-luvun Laskenta" sheetId="2" r:id="rId2"/>
    <sheet name="Energiatodistus" sheetId="3" r:id="rId3"/>
    <sheet name="Tasaus- ja energialaskenta" sheetId="4" r:id="rId4"/>
    <sheet name="Määräystenmukaisuus" sheetId="5" r:id="rId5"/>
    <sheet name="Energiaselvitys" sheetId="6" r:id="rId6"/>
    <sheet name="Ohjeet" sheetId="7" r:id="rId7"/>
  </sheets>
  <definedNames/>
  <calcPr fullCalcOnLoad="1"/>
</workbook>
</file>

<file path=xl/comments2.xml><?xml version="1.0" encoding="utf-8"?>
<comments xmlns="http://schemas.openxmlformats.org/spreadsheetml/2006/main">
  <authors>
    <author>Olavi Tupam?ki</author>
  </authors>
  <commentList>
    <comment ref="J41" authorId="0">
      <text>
        <r>
          <rPr>
            <sz val="9"/>
            <rFont val="Tahoma"/>
            <family val="2"/>
          </rPr>
          <t>LTOn vuosihyötysuhde valmistajalta.   
ET-laskenta: Aina säävyöhyke III Jyväskylä.</t>
        </r>
      </text>
    </comment>
    <comment ref="Y52" authorId="0">
      <text>
        <r>
          <rPr>
            <sz val="9"/>
            <rFont val="Tahoma"/>
            <family val="2"/>
          </rPr>
          <t xml:space="preserve">Per paikallinen sähkölaitos (energia + siirto). </t>
        </r>
        <r>
          <rPr>
            <sz val="10"/>
            <rFont val="Tahoma"/>
            <family val="0"/>
          </rPr>
          <t xml:space="preserve">
</t>
        </r>
      </text>
    </comment>
    <comment ref="Y64" authorId="0">
      <text>
        <r>
          <rPr>
            <sz val="9"/>
            <rFont val="Tahoma"/>
            <family val="2"/>
          </rPr>
          <t>Per paikallinen kaukolämpöyhtiö (calculator).</t>
        </r>
      </text>
    </comment>
    <comment ref="S101" authorId="0">
      <text>
        <r>
          <rPr>
            <sz val="9"/>
            <rFont val="Tahoma"/>
            <family val="2"/>
          </rPr>
          <t>Rakennuksen aikavakion laskemiseksi katso tehollinen lämpökapasiteetti (Wh/brm</t>
        </r>
        <r>
          <rPr>
            <vertAlign val="superscript"/>
            <sz val="9"/>
            <rFont val="Tahoma"/>
            <family val="2"/>
          </rPr>
          <t>2</t>
        </r>
        <r>
          <rPr>
            <sz val="9"/>
            <rFont val="Tahoma"/>
            <family val="2"/>
          </rPr>
          <t>K) rakentamismääräykset D5 taulukosta 8.9.</t>
        </r>
      </text>
    </comment>
    <comment ref="AE107" authorId="0">
      <text>
        <r>
          <rPr>
            <sz val="9"/>
            <rFont val="Tahoma"/>
            <family val="2"/>
          </rPr>
          <t>Tämä luku vastaa energiatodistuksen ET-lukua siten täydennettynä, että myös energian tuotantotapa on otettu huomioon (=&gt; ostoenergian ET-luku). Kaukolämmityksellä sama kuin ET-luku.</t>
        </r>
      </text>
    </comment>
    <comment ref="AE103" authorId="0">
      <text>
        <r>
          <rPr>
            <sz val="9"/>
            <rFont val="Tahoma"/>
            <family val="2"/>
          </rPr>
          <t>Tämä luku vastaa energiatodistuksen ET-lukua siten täydennettynä, että myös energian tuotantotapa on otettu huomioon (=&gt; ostoenergian ET-luku). Sähkölämmityksellä sama kuin ET-luku.</t>
        </r>
      </text>
    </comment>
    <comment ref="AE111" authorId="0">
      <text>
        <r>
          <rPr>
            <sz val="9"/>
            <rFont val="Tahoma"/>
            <family val="2"/>
          </rPr>
          <t>Tämä luku vastaa energiatodistuksen ET-lukua siten täydennettynä, että myös energian tuotantotapa on otettu huomioon (=&gt; ostoenergian ET-luku). Lämpöpumpulla olennaisesti parempi kuin ET-luku.</t>
        </r>
      </text>
    </comment>
    <comment ref="AG33" authorId="0">
      <text>
        <r>
          <rPr>
            <sz val="9"/>
            <rFont val="Tahoma"/>
            <family val="2"/>
          </rPr>
          <t>Lämmitysmenetelmän vuosihyötysuhde katso D5 taulukko 3.1. Maalämpöpumpulle siinä annetaan kerroin 2.5; tarkista tämä kuitenkin valmistajalta, sillä se voi olla jopa yli 4. Poistoilmalämpöpumpulle ei arvoa ole annettu laisinkaan; tarkista valmistajalta. Varmistetaan LVIS-suunnittelijan toimesta.
ET-laskenta: Aina säävyöhyke III Jyväskylä.</t>
        </r>
      </text>
    </comment>
    <comment ref="AG37" authorId="0">
      <text>
        <r>
          <rPr>
            <sz val="9"/>
            <rFont val="Tahoma"/>
            <family val="2"/>
          </rPr>
          <t>Lämmitysmenetelmän vuosihyötysuhde katso D5 taulukko 3.1. Maalämpöpumpulle siinä annetaan kerroin 2.5; tarkista tämä kuitenkin valmistajalta, sillä se voi olla jopa yli 4. Poistoilmalämpöpumpulle ei arvoa ole annettu laisinkaan; tarkista valmistajalta.
Varmistetaan LVIS-suunnittelijan toimesta.</t>
        </r>
      </text>
    </comment>
    <comment ref="AE33" authorId="0">
      <text>
        <r>
          <rPr>
            <sz val="9"/>
            <rFont val="Tahoma"/>
            <family val="2"/>
          </rPr>
          <t>Lämmitysmenetelmän vuosihyötysuhde katso D5 taulukko 3.1. Maalämpöpumpulle siinä annetaan kerroin 2.5; tarkista tämä kuitenkin valmistajalta, sillä se voi olla jopa yli 4. Poistoilmalämpöpumpulle ei arvoa ole annettu laisinkaan; tarkista valmistajalta.</t>
        </r>
      </text>
    </comment>
    <comment ref="AF33" authorId="0">
      <text>
        <r>
          <rPr>
            <sz val="9"/>
            <rFont val="Tahoma"/>
            <family val="2"/>
          </rPr>
          <t>Lämmitysmenetelmän vuosihyötysuhde katso D5 taulukko 3.1. Maalämpöpumpulle siinä annetaan kerroin 2.5; tarkista tämä kuitenkin valmistajalta, sillä se voi olla jopa yli 4. Poistoilmalämpöpumpulle ei arvoa ole annettu laisinkaan; tarkista valmistajalta.</t>
        </r>
      </text>
    </comment>
    <comment ref="AE37" authorId="0">
      <text>
        <r>
          <rPr>
            <sz val="9"/>
            <rFont val="Tahoma"/>
            <family val="2"/>
          </rPr>
          <t>Lämmitysmenetelmän vuosihyötysuhde katso D5 taulukko 3.1. Maalämpöpumpulle siinä annetaan kerroin 2.5; tarkista tämä kuitenkin valmistajalta, sillä se voi olla jopa yli 4. Poistoilmalämpöpumpulle ei arvoa ole annettu laisinkaan; tarkista valmistajalta.</t>
        </r>
      </text>
    </comment>
    <comment ref="AF37" authorId="0">
      <text>
        <r>
          <rPr>
            <sz val="9"/>
            <rFont val="Tahoma"/>
            <family val="2"/>
          </rPr>
          <t>Lämmitysmenetelmän vuosihyötysuhde katso D5 taulukko 3.1. Maalämpöpumpulle siinä annetaan kerroin 2.5; tarkista tämä kuitenkin valmistajalta, sillä se voi olla jopa yli 4. Poistoilmalämpöpumpulle ei arvoa ole annettu laisinkaan; tarkista valmistajalta.</t>
        </r>
      </text>
    </comment>
    <comment ref="I38" authorId="0">
      <text>
        <r>
          <rPr>
            <sz val="9"/>
            <rFont val="Tahoma"/>
            <family val="2"/>
          </rPr>
          <t>Vuosihyötysuhde riippuu laitteesta ja myös rakennuksen maantieteellisestä sijainnista, ja vaihtelee 30-80 %.</t>
        </r>
      </text>
    </comment>
    <comment ref="AC108" authorId="0">
      <text>
        <r>
          <rPr>
            <sz val="9"/>
            <rFont val="Tahoma"/>
            <family val="2"/>
          </rPr>
          <t>Lämmitysmenetelmän vuosihyötysuhde katso D5, taulukko 3.1. Maalämpöpumpulle siinä annetaan kerroin 2.5; tarkista tämä kuitenkin valmistajalta, sillä se voi olla jopa yli 4. Poistoilmalämpöpumpulle ei arvoa ole annettu laisinkaan; tarkista valmistajalta.</t>
        </r>
      </text>
    </comment>
    <comment ref="G31" authorId="0">
      <text>
        <r>
          <rPr>
            <sz val="9"/>
            <rFont val="Tahoma"/>
            <family val="2"/>
          </rPr>
          <t>Katso D5 taulukko 4.3. Ilmanvuotoluvun oletusarvo n50=4. D3 mukaan "Tätä pienempää arvoa voidaan kuitenkin käyttää, jos ilmanpitävyys osoitetaan mittaamalla tai muulla menettelyllä." RT-kortti muista menetelmistä tulossa. 
D5 taulukon 4.3 kohdan 2 mukaisesti olisi kuitenkin selvästi rakenteellisesti tiiviille talolle mahdollista hyväksyä n50=3 ilman mittauksia tms.</t>
        </r>
      </text>
    </comment>
    <comment ref="H34" authorId="0">
      <text>
        <r>
          <rPr>
            <sz val="9"/>
            <rFont val="Tahoma"/>
            <family val="2"/>
          </rPr>
          <t>Katso D5 taulukko 4.3. Ilmanvuotoluvun oletusarvo n50=4. D3 mukaan "Tätä pienempää arvoa voidaan kuitenkin käyttää, jos ilmanpitävyys osoitetaan mittaamalla tai muulla menettelyllä." RT-kortti muista menetelmistä tulossa. 
D5 taulukon 4.3 kohdan 2 mukaisesti olisi kuitenkin selvästi rakenteellisesti tiiviille talolle mahdollista hyväksyä n50=3 ilman mittauksia tms.</t>
        </r>
      </text>
    </comment>
    <comment ref="G89" authorId="0">
      <text>
        <r>
          <rPr>
            <sz val="9"/>
            <rFont val="Tahoma"/>
            <family val="2"/>
          </rPr>
          <t>Katso D5 talukko 6.1: Ominaislämpöhäviöt riippuvat lämmitysjärjestelmästä sekä lattialämmityksen kohdalla (ala)pohjan lämmöneristyksestä. 
Tässä matalaenergiatalossa on maalämpö-pumppu ja vesikiertoinen lattialämmitys, joten häviöt yhteensä ovat 5+6+4=15.</t>
        </r>
      </text>
    </comment>
    <comment ref="G92" authorId="0">
      <text>
        <r>
          <rPr>
            <sz val="9"/>
            <rFont val="Tahoma"/>
            <family val="2"/>
          </rPr>
          <t>Katso D5 kuva 6.2.</t>
        </r>
      </text>
    </comment>
    <comment ref="I12" authorId="0">
      <text>
        <r>
          <rPr>
            <sz val="9"/>
            <rFont val="Tahoma"/>
            <family val="2"/>
          </rPr>
          <t>U-arvot valmistajalta (tai laskemalla lähtien kerrosten lämmönjohtavuuksista).</t>
        </r>
      </text>
    </comment>
    <comment ref="J23" authorId="0">
      <text>
        <r>
          <rPr>
            <sz val="9"/>
            <rFont val="Tahoma"/>
            <family val="2"/>
          </rPr>
          <t>Ympäristöministeriö näyttää hyväksyvän kaikille ikkunoille saman U-arvon niiden koosta ja rakenteestakin riippumatta! Kuitenkin uusienkin ikkunoiden U-arvot voivat vaihdella 0.70 - 1.40; isoilla A-luokan ikkunoilla parhaat arvot (normikoko on 1.2 * 1.2 m</t>
        </r>
        <r>
          <rPr>
            <vertAlign val="superscript"/>
            <sz val="9"/>
            <rFont val="Tahoma"/>
            <family val="2"/>
          </rPr>
          <t>2</t>
        </r>
        <r>
          <rPr>
            <sz val="9"/>
            <rFont val="Tahoma"/>
            <family val="2"/>
          </rPr>
          <t>).</t>
        </r>
      </text>
    </comment>
    <comment ref="AB14" authorId="0">
      <text>
        <r>
          <rPr>
            <sz val="9"/>
            <rFont val="Tahoma"/>
            <family val="2"/>
          </rPr>
          <t>Auringon kokonaissäteilyn läpäisykerroin g valmistajalta (tai D5 kaava 8.7 ja taulukko 8.4).
Läpäisykerroin F per ilmansuunta &amp; kuukausi laskettu erikseen ET-asetuksen mukaisesti ja sijoitettu kaavoihin (katso myös D5 taulukko 8.6).</t>
        </r>
      </text>
    </comment>
    <comment ref="AE94" authorId="0">
      <text>
        <r>
          <rPr>
            <sz val="9"/>
            <rFont val="Tahoma"/>
            <family val="2"/>
          </rPr>
          <t>Tämä on Energiatodistuksessa käytettävä ET-luku.</t>
        </r>
      </text>
    </comment>
    <comment ref="P14" authorId="0">
      <text>
        <r>
          <rPr>
            <sz val="9"/>
            <rFont val="Tahoma"/>
            <family val="2"/>
          </rPr>
          <t>ET-laskenta: Aina säävyöhyke III Jyväskylä.</t>
        </r>
      </text>
    </comment>
    <comment ref="P37" authorId="0">
      <text>
        <r>
          <rPr>
            <sz val="9"/>
            <rFont val="Tahoma"/>
            <family val="2"/>
          </rPr>
          <t>ET-laskenta: Aina säävyöhyke III Jyväskylä.</t>
        </r>
      </text>
    </comment>
    <comment ref="X14" authorId="0">
      <text>
        <r>
          <rPr>
            <sz val="9"/>
            <rFont val="Tahoma"/>
            <family val="2"/>
          </rPr>
          <t>ET-laskenta: 8 kWh/brm</t>
        </r>
        <r>
          <rPr>
            <vertAlign val="superscript"/>
            <sz val="9"/>
            <rFont val="Tahoma"/>
            <family val="2"/>
          </rPr>
          <t>2</t>
        </r>
        <r>
          <rPr>
            <sz val="9"/>
            <rFont val="Tahoma"/>
            <family val="2"/>
          </rPr>
          <t>a</t>
        </r>
      </text>
    </comment>
    <comment ref="AF59" authorId="0">
      <text>
        <r>
          <rPr>
            <sz val="9"/>
            <rFont val="Tahoma"/>
            <family val="2"/>
          </rPr>
          <t>Tässä laskettu aikasähköllä: päivä 63% ja yö 37%. Peruste voi olla mikä tahansa muukin.</t>
        </r>
      </text>
    </comment>
    <comment ref="AF58" authorId="0">
      <text>
        <r>
          <rPr>
            <sz val="9"/>
            <rFont val="Tahoma"/>
            <family val="2"/>
          </rPr>
          <t>Tässä laskettu aikasähköllä: päivä 63% ja yö 37%. Peruste voi olla mikä tahansa muukin.</t>
        </r>
      </text>
    </comment>
    <comment ref="AF60" authorId="0">
      <text>
        <r>
          <rPr>
            <sz val="9"/>
            <rFont val="Tahoma"/>
            <family val="2"/>
          </rPr>
          <t>Tässä laskettu aikasähköllä: päivä 63% ja yö 37%. Peruste voi olla mikä tahansa muukin.</t>
        </r>
      </text>
    </comment>
    <comment ref="B40" authorId="0">
      <text>
        <r>
          <rPr>
            <sz val="9"/>
            <rFont val="Tahoma"/>
            <family val="2"/>
          </rPr>
          <t>Jos useampia kuin kaksi ulkoseinä-rakennetta, käytä osien painotettua keskiarvoa.</t>
        </r>
      </text>
    </comment>
    <comment ref="B59" authorId="0">
      <text>
        <r>
          <rPr>
            <sz val="9"/>
            <rFont val="Tahoma"/>
            <family val="2"/>
          </rPr>
          <t xml:space="preserve">Laskennassa sisälämpötilana käytetään arvoa 21 </t>
        </r>
        <r>
          <rPr>
            <vertAlign val="superscript"/>
            <sz val="9"/>
            <rFont val="Tahoma"/>
            <family val="2"/>
          </rPr>
          <t>o</t>
        </r>
        <r>
          <rPr>
            <sz val="9"/>
            <rFont val="Tahoma"/>
            <family val="2"/>
          </rPr>
          <t>C. Tämä ohjelma laskee energiankulutukset myös muille halutuille lämpötiloille.</t>
        </r>
      </text>
    </comment>
    <comment ref="B61" authorId="0">
      <text>
        <r>
          <rPr>
            <sz val="9"/>
            <rFont val="Tahoma"/>
            <family val="2"/>
          </rPr>
          <t>ET-laskenta: Rakennuksen henkilö-määränä käytetään arvoa 1 + makuuhuoneiden lukumäärä.</t>
        </r>
      </text>
    </comment>
    <comment ref="B27" authorId="0">
      <text>
        <r>
          <rPr>
            <b/>
            <sz val="9"/>
            <rFont val="Tahoma"/>
            <family val="2"/>
          </rPr>
          <t>Rakennustilavuus</t>
        </r>
        <r>
          <rPr>
            <sz val="9"/>
            <rFont val="Tahoma"/>
            <family val="2"/>
          </rPr>
          <t>, Vrak [rak-m³]
Rakennuksen tilavuudella tarkoitetaan tilaa, jota rajoittavat ulkoseinien ulkopinnat, alapohjan alapinta ja yläpohjan yläpinta. Milloin rakennuksessa ei ole yläpohjaa tai yläpohja liittyy ilman ullakkoa vesikattoon, katsotaan rajoittavaksi pinnaksi vesikaton yläpinta suojauksineen. Milloin rakennuksen
alapohjan paksuutta ei voida arvioida, lasketaan alapohjan paksuudeksi 200 mm alapohjan yläpinnasta.</t>
        </r>
      </text>
    </comment>
    <comment ref="B28" authorId="0">
      <text>
        <r>
          <rPr>
            <b/>
            <sz val="9"/>
            <rFont val="Tahoma"/>
            <family val="2"/>
          </rPr>
          <t>Rakennuksen bruttopinta-ala</t>
        </r>
        <r>
          <rPr>
            <sz val="9"/>
            <rFont val="Tahoma"/>
            <family val="2"/>
          </rPr>
          <t>, Abr [brm²]
Rakennuksen bruttopinta-ala eli bruttoala kuvaa koko rakennuksen laajuutta. Bruttoala lasketaan rakennuksen kaikkien kerrostasojen kerrostasoalojen summana. Kerrostasoalat lasketaan bruttoalaan kokonaisina riippumatta kerrostason sijainnista ja sen sisältämien huoneiden käyttötarkoituksista. Bruttoalaan lasketaan kaikki kerrostasoalat riippumatta myös siitä, ovatko huoneet kylmiä vai lämpimiä. Kerrostasoala on kerrostason ala, jonka rajoina ovat kerrostasoa ympäröivien ulkoseinien ulkopinnat tai niiden ajateltu jatke ulkoseinän pinnassa olevien aukkojen ja koristeosien osalla. Kerrostasoala sisältää myös porrasaukot sekä alat, joissa huonekorkeus on alle 1600 mm.</t>
        </r>
      </text>
    </comment>
    <comment ref="B32" authorId="0">
      <text>
        <r>
          <rPr>
            <b/>
            <sz val="9"/>
            <rFont val="Tahoma"/>
            <family val="2"/>
          </rPr>
          <t>Ilmatilavuus</t>
        </r>
        <r>
          <rPr>
            <sz val="9"/>
            <rFont val="Tahoma"/>
            <family val="2"/>
          </rPr>
          <t xml:space="preserve">, V [m³]
Rakennuksen ilmatilavuus on huonekorkeuden ja kokonaissisämittojen mukaan lasketun pinta-alan tulo. Välipohjia ei lasketa ilmatilavuuteen.
</t>
        </r>
        <r>
          <rPr>
            <b/>
            <sz val="9"/>
            <rFont val="Tahoma"/>
            <family val="2"/>
          </rPr>
          <t>Huoneiston ilmatilavuus</t>
        </r>
        <r>
          <rPr>
            <sz val="9"/>
            <rFont val="Tahoma"/>
            <family val="2"/>
          </rPr>
          <t xml:space="preserve"> on sen sisäpintojen rajoittaman tilakappaleen tilavuus. Väliseiniä ja välipohjia ei lasketa ilmatilavuuteen. (Ympäristöministeriö näyttää hyväksyvän simppelin kaavan, jonka mukaan ilmatilavuus = 0.9 * bruttopinta-ala * huonekorkeus.)</t>
        </r>
      </text>
    </comment>
    <comment ref="B29" authorId="0">
      <text>
        <r>
          <rPr>
            <b/>
            <sz val="9"/>
            <rFont val="Tahoma"/>
            <family val="2"/>
          </rPr>
          <t>Huoneala</t>
        </r>
        <r>
          <rPr>
            <sz val="9"/>
            <rFont val="Tahoma"/>
            <family val="2"/>
          </rPr>
          <t xml:space="preserve"> on huoneen ala, jonka rajoina ovat huonetta ympäröivien seinien pinnat tai niiden ajateltu jatke.
</t>
        </r>
        <r>
          <rPr>
            <b/>
            <sz val="9"/>
            <rFont val="Tahoma"/>
            <family val="2"/>
          </rPr>
          <t>Huoneistoala</t>
        </r>
        <r>
          <rPr>
            <sz val="9"/>
            <rFont val="Tahoma"/>
            <family val="2"/>
          </rPr>
          <t xml:space="preserve"> on ala, jota rajaavat toisaalta huoneistoa ympäröivien seinien, toisaalta huoneiston sisällä olevien kantavien seinien ja muiden rakennukselle välttämättömien rakennusosien huoneiston puoleiset pinnat. (Ympäristöministeriö näyttää hyväksyvän tämän energiatodistuksen laskennan pohjaksi. Se näyttää hyväksyvän myös simppelin kaavan, jonka mukaan huoneistoala = 0.9 * bruttopinta-ala.)</t>
        </r>
      </text>
    </comment>
    <comment ref="B35" authorId="0">
      <text>
        <r>
          <rPr>
            <b/>
            <sz val="9"/>
            <rFont val="Tahoma"/>
            <family val="2"/>
          </rPr>
          <t>Ikkunat ja ovet</t>
        </r>
        <r>
          <rPr>
            <sz val="9"/>
            <rFont val="Tahoma"/>
            <family val="2"/>
          </rPr>
          <t>:
Ikkunoiden ja ovien pinta-alat lasketaan kehän ulkomittojen (karmirakenteen ulkomittojen) mukaan. Julkisivun tai katon muodosta merkittävästi poikkeavan ikkunaratkaisun, kupumaisen kattoikkunan ja valoaukollisen savunpoistoluukun pinta-ala lasketaan tapauskohtaisesti yleisohjetta soveltaen.</t>
        </r>
      </text>
    </comment>
    <comment ref="B33" authorId="0">
      <text>
        <r>
          <rPr>
            <sz val="9"/>
            <rFont val="Tahoma"/>
            <family val="2"/>
          </rPr>
          <t>Julkisivupinta-ala lasketaan ulkoseinien kokonaissisämittojen mukaan. Julkisivupinta-ala sisältää ulkoseinien lisäksi siinä olevien ikkunoiden ja
ovien pinta-alat.</t>
        </r>
      </text>
    </comment>
    <comment ref="B34" authorId="0">
      <text>
        <r>
          <rPr>
            <b/>
            <sz val="9"/>
            <rFont val="Tahoma"/>
            <family val="2"/>
          </rPr>
          <t>Ulkoseinät</t>
        </r>
        <r>
          <rPr>
            <sz val="9"/>
            <rFont val="Tahoma"/>
            <family val="2"/>
          </rPr>
          <t>:
Ulkoseinien pinta-ala lasketaan sisämittojen mukaisesti lattiapinnasta yläpohjan alapintaan ikkunoiden ja ovien aukkojen pinta-alat
vähentäen.</t>
        </r>
      </text>
    </comment>
    <comment ref="B36" authorId="0">
      <text>
        <r>
          <rPr>
            <b/>
            <sz val="9"/>
            <rFont val="Tahoma"/>
            <family val="2"/>
          </rPr>
          <t>Ikkunat ja ovet</t>
        </r>
        <r>
          <rPr>
            <sz val="9"/>
            <rFont val="Tahoma"/>
            <family val="2"/>
          </rPr>
          <t>:
Ikkunoiden ja ovien pinta-alat lasketaan kehän ulkomittojen (karmirakenteen ulkomittojen) mukaan.</t>
        </r>
      </text>
    </comment>
    <comment ref="J14" authorId="0">
      <text>
        <r>
          <rPr>
            <sz val="9"/>
            <rFont val="Tahoma"/>
            <family val="2"/>
          </rPr>
          <t>Tarkista max arvot C3 kohta 3.1.3: 
Rakennuksen vaippaan kuuluvan seinän, yläpohjan tai alapohjan lämmönläpäisykerroin saa olla enintään 0.60 W/m</t>
        </r>
        <r>
          <rPr>
            <vertAlign val="superscript"/>
            <sz val="9"/>
            <rFont val="Tahoma"/>
            <family val="2"/>
          </rPr>
          <t>2</t>
        </r>
        <r>
          <rPr>
            <sz val="9"/>
            <rFont val="Tahoma"/>
            <family val="2"/>
          </rPr>
          <t>K. Lämpimän tilan ikkunan lämmön-läpäisykerroin saa olla enintään 1.8 W/m</t>
        </r>
        <r>
          <rPr>
            <vertAlign val="superscript"/>
            <sz val="9"/>
            <rFont val="Tahoma"/>
            <family val="2"/>
          </rPr>
          <t>2</t>
        </r>
        <r>
          <rPr>
            <sz val="9"/>
            <rFont val="Tahoma"/>
            <family val="2"/>
          </rPr>
          <t>K ja puolilämpimän enintään 2.8 W/m</t>
        </r>
        <r>
          <rPr>
            <vertAlign val="superscript"/>
            <sz val="9"/>
            <rFont val="Tahoma"/>
            <family val="2"/>
          </rPr>
          <t>2</t>
        </r>
        <r>
          <rPr>
            <sz val="9"/>
            <rFont val="Tahoma"/>
            <family val="2"/>
          </rPr>
          <t>K.</t>
        </r>
      </text>
    </comment>
    <comment ref="B85" authorId="0">
      <text>
        <r>
          <rPr>
            <sz val="9"/>
            <rFont val="Tahoma"/>
            <family val="2"/>
          </rPr>
          <t>Katso D5 taulukko 8.9</t>
        </r>
      </text>
    </comment>
    <comment ref="W14" authorId="0">
      <text>
        <r>
          <rPr>
            <sz val="9"/>
            <rFont val="Tahoma"/>
            <family val="2"/>
          </rPr>
          <t>Katso D5 taulukko 7.1.</t>
        </r>
      </text>
    </comment>
    <comment ref="B82" authorId="0">
      <text>
        <r>
          <rPr>
            <sz val="9"/>
            <rFont val="Tahoma"/>
            <family val="2"/>
          </rPr>
          <t>Katso D5 taulukko 8.5. 
ET-laskennassa kerroin on touko- syyskuussa 0.3 ja muulloin 1.0.
Tämä verhoasetelma (säädettävät valkoiset sälekaihtimet lasien välissä) on hyvä ratkaisu myös matalaenergiatalolle; niinpä samoja kertoimia käytetty tässä myös energialaskennassa.</t>
        </r>
      </text>
    </comment>
    <comment ref="B83" authorId="0">
      <text>
        <r>
          <rPr>
            <sz val="9"/>
            <rFont val="Tahoma"/>
            <family val="2"/>
          </rPr>
          <t>Katso D5 kaava 8.9; kertoimelle voidaan käyttää arvoa 0.75.</t>
        </r>
      </text>
    </comment>
    <comment ref="B80" authorId="0">
      <text>
        <r>
          <rPr>
            <sz val="9"/>
            <rFont val="Tahoma"/>
            <family val="2"/>
          </rPr>
          <t>Kerroin valmistajalta.</t>
        </r>
      </text>
    </comment>
    <comment ref="B81" authorId="0">
      <text>
        <r>
          <rPr>
            <sz val="9"/>
            <rFont val="Tahoma"/>
            <family val="2"/>
          </rPr>
          <t>Kertoimen voi saada myös valmistajalta</t>
        </r>
      </text>
    </comment>
    <comment ref="B65" authorId="0">
      <text>
        <r>
          <rPr>
            <sz val="9"/>
            <rFont val="Tahoma"/>
            <family val="2"/>
          </rPr>
          <t>ET-laskenta: Aina säävyöhyke III Jyväskylä.</t>
        </r>
      </text>
    </comment>
    <comment ref="O78" authorId="0">
      <text>
        <r>
          <rPr>
            <sz val="9"/>
            <rFont val="Tahoma"/>
            <family val="2"/>
          </rPr>
          <t>ET-laskenta: Aina säävyöhyke III Jyväskylä; katso D5 taulukko L1.4.</t>
        </r>
      </text>
    </comment>
    <comment ref="G34" authorId="0">
      <text>
        <r>
          <rPr>
            <sz val="9"/>
            <rFont val="Tahoma"/>
            <family val="2"/>
          </rPr>
          <t>Vertailuarvo D3 kohta 3.3.2.</t>
        </r>
      </text>
    </comment>
    <comment ref="U14" authorId="0">
      <text>
        <r>
          <rPr>
            <sz val="9"/>
            <rFont val="Tahoma"/>
            <family val="2"/>
          </rPr>
          <t>Katso D5 talukko 6.1: Ominaislämpöhäviöt riippuvat lämmitysjärjestelmästä sekä lattialämmityksen kohdalla (ala)pohjan lämmöneristyksestä. 
Tässä matalaenergiatalossa on maalämpö-pumppu ja vesikiertoinen lattialämmitys, joten häviöt yhteensä ovat 5+6+4=15.
Onko lämmitysvesivaraajaa, katso D5 kuva 6.1.</t>
        </r>
      </text>
    </comment>
    <comment ref="V14" authorId="0">
      <text>
        <r>
          <rPr>
            <sz val="9"/>
            <rFont val="Tahoma"/>
            <family val="2"/>
          </rPr>
          <t>Katso D5 kohta 62. Onko kiertojohtoa, katso D5 taulukko 6.2</t>
        </r>
      </text>
    </comment>
    <comment ref="B62" authorId="0">
      <text>
        <r>
          <rPr>
            <sz val="9"/>
            <rFont val="Tahoma"/>
            <family val="2"/>
          </rPr>
          <t>Energialaskennassa oikea henkilömäärä.</t>
        </r>
      </text>
    </comment>
    <comment ref="B66" authorId="0">
      <text>
        <r>
          <rPr>
            <sz val="9"/>
            <rFont val="Tahoma"/>
            <family val="2"/>
          </rPr>
          <t>Energialaskennassa sijaintipaikan säävyöhyke.</t>
        </r>
      </text>
    </comment>
    <comment ref="B50" authorId="0">
      <text>
        <r>
          <rPr>
            <sz val="9"/>
            <rFont val="Tahoma"/>
            <family val="2"/>
          </rPr>
          <t>On tärkeää huomata, että eri ikkunoiden U-arvot voivat olla varsin erilaiset niiden koosta (normikoko on 1.2 * 1.2 m</t>
        </r>
        <r>
          <rPr>
            <vertAlign val="superscript"/>
            <sz val="9"/>
            <rFont val="Tahoma"/>
            <family val="2"/>
          </rPr>
          <t>2</t>
        </r>
        <r>
          <rPr>
            <sz val="9"/>
            <rFont val="Tahoma"/>
            <family val="2"/>
          </rPr>
          <t>) ja rakenteesta (esim palolasit) johtuen.</t>
        </r>
      </text>
    </comment>
    <comment ref="B46" authorId="0">
      <text>
        <r>
          <rPr>
            <sz val="9"/>
            <rFont val="Tahoma"/>
            <family val="2"/>
          </rPr>
          <t>D5 kohta 4.1.2: Lämpöhäviö kerrotaan luvulla 0.8, jos tuuletusaukkojen määrä on enintään 0.8 % alapohjan pinta-alasta.</t>
        </r>
      </text>
    </comment>
    <comment ref="B48" authorId="0">
      <text>
        <r>
          <rPr>
            <sz val="9"/>
            <rFont val="Tahoma"/>
            <family val="2"/>
          </rPr>
          <t>D5 kohta 4.1.3: U-arvo ei sisällä alapuolisen maan lämmönvastusta.</t>
        </r>
      </text>
    </comment>
    <comment ref="AD89" authorId="0">
      <text>
        <r>
          <rPr>
            <sz val="9"/>
            <rFont val="Tahoma"/>
            <family val="2"/>
          </rPr>
          <t>Hyödynnetty tilojen lämmityksessä.</t>
        </r>
      </text>
    </comment>
    <comment ref="G100" authorId="0">
      <text>
        <r>
          <rPr>
            <sz val="9"/>
            <rFont val="Tahoma"/>
            <family val="2"/>
          </rPr>
          <t>Katso D5 taulukko 8.3.</t>
        </r>
      </text>
    </comment>
    <comment ref="B86" authorId="0">
      <text>
        <r>
          <rPr>
            <sz val="9"/>
            <rFont val="Tahoma"/>
            <family val="2"/>
          </rPr>
          <t>Katso D5 taulukko 4.3. Ilmanvuotoluvun oletusarvo n50=4. D3 mukaan "Tätä pienempää arvoa voidaan kuitenkin käyttää, jos ilmanpitävyys osoitetaan mittaamalla tai muulla menettelyllä." RT-kortti muista menetelmistä tulossa. 
D5 taulukon 4.3 kohdan 2 mukaisesti olisi kuitenkin selvästi rakenteellisesti tiiviille talolle mahdollista hyväksyä n50=3 ilman mittauksia tms.</t>
        </r>
      </text>
    </comment>
    <comment ref="B90" authorId="0">
      <text>
        <r>
          <rPr>
            <sz val="9"/>
            <rFont val="Tahoma"/>
            <family val="2"/>
          </rPr>
          <t>LTOn vuosihyötysuhde valmistajalta.   
ET-laskenta: Aina säävyöhyke III Jyväskylä.</t>
        </r>
      </text>
    </comment>
    <comment ref="B91" authorId="0">
      <text>
        <r>
          <rPr>
            <sz val="9"/>
            <rFont val="Tahoma"/>
            <family val="2"/>
          </rPr>
          <t>LTOn vuosihyötysuhde valmistajalta.   
Huom: sijaintipaikan säävyöhyke.</t>
        </r>
      </text>
    </comment>
    <comment ref="B55" authorId="0">
      <text>
        <r>
          <rPr>
            <sz val="9"/>
            <rFont val="Tahoma"/>
            <family val="2"/>
          </rPr>
          <t>Jos useita ulko-ovirakenteita, käytä niiden painotettua keskiarvoa.</t>
        </r>
      </text>
    </comment>
    <comment ref="B51" authorId="0">
      <text>
        <r>
          <rPr>
            <sz val="9"/>
            <rFont val="Tahoma"/>
            <family val="2"/>
          </rPr>
          <t>Tähän myös koillinen ja luode.</t>
        </r>
      </text>
    </comment>
    <comment ref="B53" authorId="0">
      <text>
        <r>
          <rPr>
            <sz val="9"/>
            <rFont val="Tahoma"/>
            <family val="2"/>
          </rPr>
          <t>Tähän myös kaakko ja lounas.</t>
        </r>
      </text>
    </comment>
    <comment ref="B95" authorId="0">
      <text>
        <r>
          <rPr>
            <sz val="9"/>
            <rFont val="Tahoma"/>
            <family val="2"/>
          </rPr>
          <t>SFP-luku LTO:n valmistajalta; varmistetaan LVIS-suunnittelijan toimesta. Tulisi olla &lt;2.5.</t>
        </r>
      </text>
    </comment>
    <comment ref="B98" authorId="0">
      <text>
        <r>
          <rPr>
            <sz val="9"/>
            <rFont val="Tahoma"/>
            <family val="2"/>
          </rPr>
          <t>Katso D5 Taulukko 5.1.</t>
        </r>
      </text>
    </comment>
    <comment ref="B99" authorId="0">
      <text>
        <r>
          <rPr>
            <sz val="9"/>
            <rFont val="Tahoma"/>
            <family val="2"/>
          </rPr>
          <t>Katso D5 Taulukko 5.1.</t>
        </r>
      </text>
    </comment>
    <comment ref="B100" authorId="0">
      <text>
        <r>
          <rPr>
            <sz val="9"/>
            <rFont val="Tahoma"/>
            <family val="2"/>
          </rPr>
          <t>Katso D1 Liite 2 kohta 4 Taulukko 2; varmistetaan LVI-suunnittelijan toimesta.</t>
        </r>
      </text>
    </comment>
    <comment ref="AM14" authorId="0">
      <text>
        <r>
          <rPr>
            <sz val="9"/>
            <rFont val="Tahoma"/>
            <family val="2"/>
          </rPr>
          <t xml:space="preserve">D3 kohta 2.8.1 ja D5 L2: jäähdytyksen asetusarvo on yleensä 23 </t>
        </r>
        <r>
          <rPr>
            <vertAlign val="superscript"/>
            <sz val="9"/>
            <rFont val="Tahoma"/>
            <family val="2"/>
          </rPr>
          <t>o</t>
        </r>
        <r>
          <rPr>
            <sz val="9"/>
            <rFont val="Tahoma"/>
            <family val="2"/>
          </rPr>
          <t>C.</t>
        </r>
      </text>
    </comment>
    <comment ref="AO14" authorId="0">
      <text>
        <r>
          <rPr>
            <sz val="9"/>
            <rFont val="Tahoma"/>
            <family val="2"/>
          </rPr>
          <t>D5 kohta 3.5: jäähdytysjärjestelmän hyötysuhde = 0.7. Varmistetaan LVIS-suunnittelijan  toimesta.</t>
        </r>
      </text>
    </comment>
    <comment ref="AO18" authorId="0">
      <text>
        <r>
          <rPr>
            <sz val="9"/>
            <rFont val="Tahoma"/>
            <family val="2"/>
          </rPr>
          <t>D5 kohta 3.5: jäähdytysjärjestelmän hyötysuhde = 0.7. Varmistetaan LVIS-suunnittelijan  toimesta.</t>
        </r>
      </text>
    </comment>
    <comment ref="B107" authorId="0">
      <text>
        <r>
          <rPr>
            <sz val="9"/>
            <rFont val="Tahoma"/>
            <family val="2"/>
          </rPr>
          <t>Lämmitysmenetelmän vuosihyötysuhde katso D5 taulukko 3.1. Sähkölle taulukossa annetaan luku 1.0 (mutta oikeasti se olisi hieman pienempi).</t>
        </r>
      </text>
    </comment>
    <comment ref="B113" authorId="0">
      <text>
        <r>
          <rPr>
            <sz val="9"/>
            <rFont val="Tahoma"/>
            <family val="2"/>
          </rPr>
          <t>Katso D5 kuva 6.2.
Tässä kuuman veden tuottamistapa on maalämpöpumppuun sisältyvä tulistus; tällöin ei tarvita varsinaista kuumavesisäiliötä (kuten ei kaukolämmönkään tapauksessa).
Varmistetaan LVIS-suunnittelijan toimesta.</t>
        </r>
      </text>
    </comment>
    <comment ref="B110" authorId="0">
      <text>
        <r>
          <rPr>
            <sz val="9"/>
            <rFont val="Tahoma"/>
            <family val="2"/>
          </rPr>
          <t>Tässä kuuman veden tuottamistapa on maalämpöpumppuun sisältyvä energiatehokas tulistus.
Varmistetaan LVIS-suunnittelijan toimesta.</t>
        </r>
      </text>
    </comment>
    <comment ref="C116" authorId="0">
      <text>
        <r>
          <rPr>
            <sz val="9"/>
            <rFont val="Tahoma"/>
            <family val="2"/>
          </rPr>
          <t xml:space="preserve">Maakylmäpumppu  tarkoittaa sitä, että pumpun kiertoneste kulkee LTO:n yhteyteen asennetun jäähdytyskennoston kautta, jolloin tiloihin puhallettava ilmanvaihdon tuloilma jäähtyy jopa 10 </t>
        </r>
        <r>
          <rPr>
            <vertAlign val="superscript"/>
            <sz val="9"/>
            <rFont val="Tahoma"/>
            <family val="2"/>
          </rPr>
          <t>o</t>
        </r>
        <r>
          <rPr>
            <sz val="9"/>
            <rFont val="Tahoma"/>
            <family val="2"/>
          </rPr>
          <t>C. Järjestelmä vaatii tyypillisesti pienen apuvesipumpun, jonka kuluttama vuotuinen sähköenergian määrä on vähäisestä käyttöajastakin johtuen mitätön.
Varmistetaan LVIS-suunnittelijan toimesta.</t>
        </r>
      </text>
    </comment>
    <comment ref="B116" authorId="0">
      <text>
        <r>
          <rPr>
            <sz val="9"/>
            <rFont val="Tahoma"/>
            <family val="2"/>
          </rPr>
          <t>Tiedot valmistajalta. Varmistetaan LVIS-suunnittelijan toimesta.</t>
        </r>
      </text>
    </comment>
    <comment ref="B117" authorId="0">
      <text>
        <r>
          <rPr>
            <sz val="9"/>
            <rFont val="Tahoma"/>
            <family val="2"/>
          </rPr>
          <t>Tiedot valmistajalta. Varmistetaan LVIS-suunnittelijan toimesta.</t>
        </r>
      </text>
    </comment>
    <comment ref="B64" authorId="0">
      <text>
        <r>
          <rPr>
            <sz val="9"/>
            <rFont val="Tahoma"/>
            <family val="2"/>
          </rPr>
          <t>Katso D5 liite 1.</t>
        </r>
      </text>
    </comment>
    <comment ref="B63" authorId="0">
      <text>
        <r>
          <rPr>
            <sz val="9"/>
            <rFont val="Tahoma"/>
            <family val="2"/>
          </rPr>
          <t>ET-laskennassa aina säävyöhyke III Jyväskylä.</t>
        </r>
      </text>
    </comment>
    <comment ref="G97" authorId="0">
      <text>
        <r>
          <rPr>
            <sz val="9"/>
            <rFont val="Tahoma"/>
            <family val="2"/>
          </rPr>
          <t>Katso D5 taulukko 8.1.</t>
        </r>
      </text>
    </comment>
    <comment ref="B60" authorId="0">
      <text>
        <r>
          <rPr>
            <sz val="9"/>
            <rFont val="Tahoma"/>
            <family val="2"/>
          </rPr>
          <t xml:space="preserve">Katso D3 kohta 2.8.1 ja D5 L2: jäähdytyksen asetusarvo on yleensä 23 </t>
        </r>
        <r>
          <rPr>
            <vertAlign val="superscript"/>
            <sz val="9"/>
            <rFont val="Tahoma"/>
            <family val="2"/>
          </rPr>
          <t>o</t>
        </r>
        <r>
          <rPr>
            <sz val="9"/>
            <rFont val="Tahoma"/>
            <family val="2"/>
          </rPr>
          <t>C.</t>
        </r>
      </text>
    </comment>
    <comment ref="G88" authorId="0">
      <text>
        <r>
          <rPr>
            <sz val="9"/>
            <rFont val="Tahoma"/>
            <family val="2"/>
          </rPr>
          <t>Katso D5 taulukko 6.1, vähintään 2,000 kWh/a.</t>
        </r>
      </text>
    </comment>
    <comment ref="G90" authorId="0">
      <text>
        <r>
          <rPr>
            <sz val="9"/>
            <rFont val="Tahoma"/>
            <family val="2"/>
          </rPr>
          <t>Sisältyvät tilojen lämmönkehityksen häviöihin; katso D5 kohta 6.2.3.
Jos oma lämmönkehityslaite, vähintään 1,000 kWh/a.</t>
        </r>
      </text>
    </comment>
    <comment ref="G91" authorId="0">
      <text>
        <r>
          <rPr>
            <sz val="9"/>
            <rFont val="Tahoma"/>
            <family val="2"/>
          </rPr>
          <t>Katso D5 taulukko 6.2.</t>
        </r>
      </text>
    </comment>
    <comment ref="I41" authorId="0">
      <text>
        <r>
          <rPr>
            <sz val="9"/>
            <rFont val="Tahoma"/>
            <family val="2"/>
          </rPr>
          <t>Vertailuarvo D2 kohta 3.4.3.</t>
        </r>
      </text>
    </comment>
    <comment ref="B102" authorId="0">
      <text>
        <r>
          <rPr>
            <sz val="9"/>
            <rFont val="Tahoma"/>
            <family val="2"/>
          </rPr>
          <t>Lähtötiedot lämmitysjärjestelmän valmistajalta. Eri laitteiden toimintatapa, tehokkuus ja lähtöarvot vaihtelevat suuresti.</t>
        </r>
      </text>
    </comment>
    <comment ref="P41" authorId="0">
      <text>
        <r>
          <rPr>
            <sz val="9"/>
            <rFont val="Tahoma"/>
            <family val="2"/>
          </rPr>
          <t>Katso maalajin merkitys D5 taulukko 4.1.</t>
        </r>
      </text>
    </comment>
    <comment ref="U18" authorId="0">
      <text>
        <r>
          <rPr>
            <sz val="9"/>
            <rFont val="Tahoma"/>
            <family val="2"/>
          </rPr>
          <t>Katso D5 talukko 6.1: Ominaislämpöhäviöt riippuvat lämmitysjärjestelmästä sekä lattialämmityksen kohdalla (ala)pohjan lämmöneristyksestä. 
Tässä matalaenergiatalossa on maalämpö-pumppu ja vesikiertoinen lattialämmitys, joten häviöt yhteensä ovat 5+6+4=15.
Onko lämmitysvesivaraajaa, katso D5 kuva 6.1.</t>
        </r>
      </text>
    </comment>
    <comment ref="AB18" authorId="0">
      <text>
        <r>
          <rPr>
            <sz val="9"/>
            <rFont val="Tahoma"/>
            <family val="2"/>
          </rPr>
          <t>Auringon kokonaissäteilyn läpäisykerroin g valmistajalta (tai D5 kaava 8.7 ja taulukko 8.4).
Läpäisykerroin F per ilmansuunta &amp; kuukausi laskettu erikseen ET-asetuksen mukaisesti ja sijoitettu kaavoihin (katso myös D5 taulukko 8.6).</t>
        </r>
      </text>
    </comment>
    <comment ref="P35" authorId="0">
      <text>
        <r>
          <rPr>
            <sz val="9"/>
            <rFont val="Tahoma"/>
            <family val="2"/>
          </rPr>
          <t>Tarkista maaperän merkitys D5 taulukko 4.1</t>
        </r>
      </text>
    </comment>
    <comment ref="V18" authorId="0">
      <text>
        <r>
          <rPr>
            <sz val="9"/>
            <rFont val="Tahoma"/>
            <family val="2"/>
          </rPr>
          <t>Katso D5 kohta 62. Onko kiertojohtoa, katso D5 taulukko 6.2</t>
        </r>
      </text>
    </comment>
    <comment ref="AF67" authorId="0">
      <text>
        <r>
          <rPr>
            <sz val="9"/>
            <rFont val="Tahoma"/>
            <family val="2"/>
          </rPr>
          <t>Per paikallinen kaukolämpöyhtiö (calculator).</t>
        </r>
      </text>
    </comment>
    <comment ref="B108" authorId="0">
      <text>
        <r>
          <rPr>
            <sz val="9"/>
            <rFont val="Tahoma"/>
            <family val="2"/>
          </rPr>
          <t>Lämmitysmenetelmän vuosihyötysuhde katso D5 taulukko 3.1. Kaukolämmölle taulukossa annetaan luku 1.0 (mutta oikeasti se olisi vähän pienempi).</t>
        </r>
      </text>
    </comment>
    <comment ref="B92" authorId="0">
      <text>
        <r>
          <rPr>
            <sz val="9"/>
            <rFont val="Tahoma"/>
            <family val="2"/>
          </rPr>
          <t>LTOn valmistajalta; varmistetaan LVI-suunnittelijan toimesta.</t>
        </r>
      </text>
    </comment>
    <comment ref="B93" authorId="0">
      <text>
        <r>
          <rPr>
            <sz val="9"/>
            <rFont val="Tahoma"/>
            <family val="2"/>
          </rPr>
          <t>LTOn valmistajalta; varmistetaan LVI-suunnittelijan toimesta.</t>
        </r>
      </text>
    </comment>
    <comment ref="B87" authorId="0">
      <text>
        <r>
          <rPr>
            <sz val="9"/>
            <rFont val="Tahoma"/>
            <family val="2"/>
          </rPr>
          <t>Katso D5 taulukko 4.1</t>
        </r>
      </text>
    </comment>
    <comment ref="B111" authorId="0">
      <text>
        <r>
          <rPr>
            <sz val="9"/>
            <rFont val="Tahoma"/>
            <family val="2"/>
          </rPr>
          <t>Sisältyvät tilojen lämmönkehityksen häviöihin; katso D5 kohta 6.2.3.
Jos oma lämmönkehityslaite, vähintään 1,000 kWh/a.</t>
        </r>
      </text>
    </comment>
    <comment ref="B112" authorId="0">
      <text>
        <r>
          <rPr>
            <sz val="9"/>
            <rFont val="Tahoma"/>
            <family val="2"/>
          </rPr>
          <t>Katso D5 talukko 6.2.
D1 kohdan 2.3.10 mukaisesti lämpimän veden odotusaika saa olla enintään 30 s.
Kiertojohto kuitenkin tuhlaa energiaa, lisää kesäaikaisen viilennyksen tarvetta ja huonontaa ET-lukua.</t>
        </r>
      </text>
    </comment>
    <comment ref="B114" authorId="0">
      <text>
        <r>
          <rPr>
            <sz val="9"/>
            <rFont val="Tahoma"/>
            <family val="2"/>
          </rPr>
          <t xml:space="preserve">D1 kohta 2.3.8.2: Lämminvesiverkoston kiertojohdossa käytettäviä lämmönluovuttimia ei saa suunnitella käytettäväksi rakennuksen lämpöhäviöiden kattamiseen eikä lattialämmitykseen.
</t>
        </r>
      </text>
    </comment>
    <comment ref="B104" authorId="0">
      <text>
        <r>
          <rPr>
            <sz val="9"/>
            <rFont val="Tahoma"/>
            <family val="2"/>
          </rPr>
          <t>Katso D5 taulukko 6.1, vähintään 2,000 kWh/a.</t>
        </r>
      </text>
    </comment>
    <comment ref="B105" authorId="0">
      <text>
        <r>
          <rPr>
            <sz val="9"/>
            <rFont val="Tahoma"/>
            <family val="2"/>
          </rPr>
          <t>Katso D5 talukko 6.1: Ominaislämpöhäviöt riippuvat lämmitysjärjestelmästä sekä lattialämmityksen kohdalla (ala)pohjan lämmöneristyksestä. 
Tässä matalaenergiatalossa on maalämpöpumppu ja vesikiertoinen lattialämmitys, joten häviöt yhteensä ovat 5+6+4=15.</t>
        </r>
        <r>
          <rPr>
            <sz val="10"/>
            <rFont val="Tahoma"/>
            <family val="0"/>
          </rPr>
          <t xml:space="preserve">
</t>
        </r>
      </text>
    </comment>
    <comment ref="B106" authorId="0">
      <text>
        <r>
          <rPr>
            <sz val="9"/>
            <rFont val="Tahoma"/>
            <family val="2"/>
          </rPr>
          <t>Katso D5 kuva 6.1</t>
        </r>
        <r>
          <rPr>
            <sz val="10"/>
            <rFont val="Tahoma"/>
            <family val="0"/>
          </rPr>
          <t xml:space="preserve">
</t>
        </r>
      </text>
    </comment>
    <comment ref="P99" authorId="0">
      <text>
        <r>
          <rPr>
            <sz val="9"/>
            <rFont val="Tahoma"/>
            <family val="2"/>
          </rPr>
          <t>Tuloilmaa voi lämmittää myös lattialämmityksen kiertovedellä; tällöin kaukolämmön ja varsinkin (maa)lämpöpumpun kyseessäollen patterin kuluttaman sähköenergian määrä vähenee.</t>
        </r>
      </text>
    </comment>
    <comment ref="B94" authorId="0">
      <text>
        <r>
          <rPr>
            <sz val="9"/>
            <rFont val="Tahoma"/>
            <family val="2"/>
          </rPr>
          <t>LTOn valmistajalta; varmistetaan LVI-suunnittelijan toimesta.</t>
        </r>
      </text>
    </comment>
    <comment ref="B109" authorId="0">
      <text>
        <r>
          <rPr>
            <sz val="9"/>
            <rFont val="Tahoma"/>
            <family val="2"/>
          </rPr>
          <t>Lämmitysmenetelmän vuosihyötysuhde katso D5 taulukko 3.1. Maalämpöpumpulle siinä annetaan kerroin 2.5; tarkista tämä kuitenkin valmistajalta, sillä se voi olla jopa yli 4. Poistoilmalämpöpumpulle ei arvoa ole annettu laisinkaan; tarkista valmistajalta.
Ohjelmalla voi laskea myös öljyä, pellettejä, puuta etc polttoainetta käyttävän lämmöntuottotavan ostoenergiankulutuksen. Vuosihyötysuhteet katso D5 taulukko 3.1.
Varmistetaan LVIS-suunnittelijan toimesta.</t>
        </r>
      </text>
    </comment>
    <comment ref="X58" authorId="0">
      <text>
        <r>
          <rPr>
            <sz val="9"/>
            <rFont val="Tahoma"/>
            <family val="2"/>
          </rPr>
          <t>Sähkölämmitys</t>
        </r>
      </text>
    </comment>
    <comment ref="X59" authorId="0">
      <text>
        <r>
          <rPr>
            <sz val="9"/>
            <rFont val="Tahoma"/>
            <family val="2"/>
          </rPr>
          <t>Kaukolämmmitys</t>
        </r>
      </text>
    </comment>
    <comment ref="X60" authorId="0">
      <text>
        <r>
          <rPr>
            <sz val="9"/>
            <rFont val="Tahoma"/>
            <family val="2"/>
          </rPr>
          <t>Lämpöpumppu; maa/kalliolämpöpumpulla paras hyötysuhde.</t>
        </r>
      </text>
    </comment>
  </commentList>
</comments>
</file>

<file path=xl/comments4.xml><?xml version="1.0" encoding="utf-8"?>
<comments xmlns="http://schemas.openxmlformats.org/spreadsheetml/2006/main">
  <authors>
    <author>Olavi Tupam?ki</author>
  </authors>
  <commentList>
    <comment ref="E12" authorId="0">
      <text>
        <r>
          <rPr>
            <sz val="9"/>
            <rFont val="Tahoma"/>
            <family val="2"/>
          </rPr>
          <t>U-arvot valmistajalta (tai laskemalla lähtien kerrosten lämmönjohtavuuksista).</t>
        </r>
      </text>
    </comment>
    <comment ref="F14" authorId="0">
      <text>
        <r>
          <rPr>
            <sz val="9"/>
            <rFont val="Tahoma"/>
            <family val="2"/>
          </rPr>
          <t>Tarkista max arvot C3 kohta 3.1.3: 
Rakennuksen vaippaan kuuluvan seinän, yläpohjan tai alapohjan lämmönläpäisykerroin saa olla enintään 0.60 W/m</t>
        </r>
        <r>
          <rPr>
            <vertAlign val="superscript"/>
            <sz val="9"/>
            <rFont val="Tahoma"/>
            <family val="2"/>
          </rPr>
          <t>2</t>
        </r>
        <r>
          <rPr>
            <sz val="9"/>
            <rFont val="Tahoma"/>
            <family val="2"/>
          </rPr>
          <t>K. Lämpimän tilan ikkunan lämmön-läpäisykerroin saa olla enintään 1.8 W/m</t>
        </r>
        <r>
          <rPr>
            <vertAlign val="superscript"/>
            <sz val="9"/>
            <rFont val="Tahoma"/>
            <family val="2"/>
          </rPr>
          <t>2</t>
        </r>
        <r>
          <rPr>
            <sz val="9"/>
            <rFont val="Tahoma"/>
            <family val="2"/>
          </rPr>
          <t>K ja puolilämpimän enintään 2.8 W/m</t>
        </r>
        <r>
          <rPr>
            <vertAlign val="superscript"/>
            <sz val="9"/>
            <rFont val="Tahoma"/>
            <family val="2"/>
          </rPr>
          <t>2</t>
        </r>
        <r>
          <rPr>
            <sz val="9"/>
            <rFont val="Tahoma"/>
            <family val="2"/>
          </rPr>
          <t>K.</t>
        </r>
      </text>
    </comment>
    <comment ref="F23" authorId="0">
      <text>
        <r>
          <rPr>
            <sz val="9"/>
            <rFont val="Tahoma"/>
            <family val="2"/>
          </rPr>
          <t>Ympäristöministeriö näyttää hyväksyvän kaikille ikkunoille saman U-arvon niiden koosta ja rakenteestakin riippumatta! Kuitenkin uusienkin ikkunoiden U-arvot voivat vaihdella 0.70 - 1.40; isoilla A-luokan ikkunoilla parhaat arvot (normikoko on 1.2 * 1.2 m</t>
        </r>
        <r>
          <rPr>
            <vertAlign val="superscript"/>
            <sz val="9"/>
            <rFont val="Tahoma"/>
            <family val="2"/>
          </rPr>
          <t>2</t>
        </r>
        <r>
          <rPr>
            <sz val="9"/>
            <rFont val="Tahoma"/>
            <family val="2"/>
          </rPr>
          <t>).</t>
        </r>
      </text>
    </comment>
    <comment ref="C46" authorId="0">
      <text>
        <r>
          <rPr>
            <sz val="9"/>
            <rFont val="Tahoma"/>
            <family val="2"/>
          </rPr>
          <t>Katso D5 taulukko 4.3. Ilmanvuotoluvun oletusarvo n50=4. D3 mukaan "Tätä pienempää arvoa voidaan kuitenkin käyttää, jos ilmanpitävyys osoitetaan mittaamalla tai muulla menettelyllä." RT-kortti muista menetelmistä tulossa. 
D5 taulukon 4.3 kohdan 2 mukaisesti olisi kuitenkin selvästi rakenteellisesti tiiviille talolle mahdollista hyväksyä n50=3 ilman mittauksia tms.</t>
        </r>
      </text>
    </comment>
    <comment ref="C49" authorId="0">
      <text>
        <r>
          <rPr>
            <sz val="9"/>
            <rFont val="Tahoma"/>
            <family val="2"/>
          </rPr>
          <t>Vertailuarvo D3 kohta 3.3.2.</t>
        </r>
      </text>
    </comment>
    <comment ref="D49" authorId="0">
      <text>
        <r>
          <rPr>
            <sz val="9"/>
            <rFont val="Tahoma"/>
            <family val="2"/>
          </rPr>
          <t>Katso D5 taulukko 4.3. Ilmanvuotoluvun oletusarvo n50=4. D3 mukaan "Tätä pienempää arvoa voidaan kuitenkin käyttää, jos ilmanpitävyys osoitetaan mittaamalla tai muulla menettelyllä." RT-kortti muista menetelmistä tulossa. 
D5 taulukon 4.3 kohdan 2 mukaisesti olisi kuitenkin selvästi rakenteellisesti tiiviille talolle mahdollista hyväksyä n50=3 ilman mittauksia tms.</t>
        </r>
      </text>
    </comment>
    <comment ref="E55" authorId="0">
      <text>
        <r>
          <rPr>
            <sz val="9"/>
            <rFont val="Tahoma"/>
            <family val="2"/>
          </rPr>
          <t>Vuosihyötysuhde riippuu laitteesta ja myös rakennuksen maantieteellisestä sijainnista, ja vaihtelee 30-80 %.</t>
        </r>
      </text>
    </comment>
    <comment ref="F58" authorId="0">
      <text>
        <r>
          <rPr>
            <sz val="9"/>
            <rFont val="Tahoma"/>
            <family val="2"/>
          </rPr>
          <t>LTOn vuosihyötysuhde valmistajalta.   
Huom: sijaintipaikan säävyöhyke.</t>
        </r>
      </text>
    </comment>
    <comment ref="F38" authorId="0">
      <text>
        <r>
          <rPr>
            <sz val="9"/>
            <rFont val="Tahoma"/>
            <family val="2"/>
          </rPr>
          <t>Ympäristöministeriö näyttää hyväksyvän kaikille ikkunoille saman U-arvon niiden koosta ja rakenteestakin riippumatta! Kuitenkin uusienkin ikkunoiden U-arvot voivat vaihdella 0.70 - 1.40; isoilla A-luokan ikkunoilla parhaat arvot (normikoko on 1.2*1.2m</t>
        </r>
        <r>
          <rPr>
            <vertAlign val="superscript"/>
            <sz val="9"/>
            <rFont val="Tahoma"/>
            <family val="2"/>
          </rPr>
          <t>2</t>
        </r>
        <r>
          <rPr>
            <sz val="9"/>
            <rFont val="Tahoma"/>
            <family val="2"/>
          </rPr>
          <t>).</t>
        </r>
      </text>
    </comment>
    <comment ref="L14" authorId="0">
      <text>
        <r>
          <rPr>
            <sz val="9"/>
            <rFont val="Tahoma"/>
            <family val="2"/>
          </rPr>
          <t>Sijaintipaikan säävyöhyke.</t>
        </r>
      </text>
    </comment>
    <comment ref="R14" authorId="0">
      <text>
        <r>
          <rPr>
            <sz val="9"/>
            <rFont val="Tahoma"/>
            <family val="2"/>
          </rPr>
          <t>Katso D5 kohta 62. Onko kiertojohtoa, katso D5 taulukko 6.2</t>
        </r>
      </text>
    </comment>
    <comment ref="S14" authorId="0">
      <text>
        <r>
          <rPr>
            <sz val="9"/>
            <rFont val="Tahoma"/>
            <family val="2"/>
          </rPr>
          <t>Katso D5 taulukko 7.1.</t>
        </r>
      </text>
    </comment>
    <comment ref="T14" authorId="0">
      <text>
        <r>
          <rPr>
            <sz val="9"/>
            <rFont val="Tahoma"/>
            <family val="2"/>
          </rPr>
          <t>Energialaskennassa kuorma on 70 W henkilöä kohti; oleskeluaikakerroin 0.60 talulukosta D5-8.2.</t>
        </r>
      </text>
    </comment>
    <comment ref="X14" authorId="0">
      <text>
        <r>
          <rPr>
            <sz val="9"/>
            <rFont val="Tahoma"/>
            <family val="2"/>
          </rPr>
          <t>Auringon kokonaissäteilyn läpäisykerroin g valmistajalta (tai D5 kaava 8.7 ja taulukko 8.4).
Läpäisykerroin F per ilmansuunta &amp; kuukausi laskettu erikseen ja sijoitettu kaavoihin (katso myös D5 taulukko 8.6).</t>
        </r>
      </text>
    </comment>
    <comment ref="AC33" authorId="0">
      <text>
        <r>
          <rPr>
            <sz val="9"/>
            <rFont val="Tahoma"/>
            <family val="2"/>
          </rPr>
          <t>Lämmitysmenetelmän vuosihyötysuhde katso D5 taulukko 3.1. Maalämpöpumpulle siinä annetaan kerroin 2.5; tarkista tämä kuitenkin valmistajalta, sillä se voi olla jopa yli 4. Poistoilmalämpöpumpulle ei arvoa ole annettu laisinkaan; tarkista valmistajalta. Varmistetaan LVIS-suunnittelijan toimesta.
Sijaintipaikan säävyöhyke.</t>
        </r>
      </text>
    </comment>
    <comment ref="AC37" authorId="0">
      <text>
        <r>
          <rPr>
            <sz val="9"/>
            <rFont val="Tahoma"/>
            <family val="2"/>
          </rPr>
          <t>Lämmitysmenetelmän vuosihyötysuhde katso D5 taulukko 3.1. Maalämpöpumpulle siinä annetaan kerroin 2.5; tarkista tämä kuitenkin valmistajalta, sillä se voi olla jopa yli 4. Poistoilmalämpöpumpulle ei arvoa ole annettu laisinkaan; tarkista valmistajalta.
Varmistetaan LVIS-suunnittelijan toimesta.</t>
        </r>
      </text>
    </comment>
    <comment ref="AA33" authorId="0">
      <text>
        <r>
          <rPr>
            <sz val="9"/>
            <rFont val="Tahoma"/>
            <family val="2"/>
          </rPr>
          <t>Lämmitysmenetelmän vuosihyötysuhde katso D5 taulukko 3.1. Maalämpöpumpulle siinä annetaan kerroin 2.5; tarkista tämä kuitenkin valmistajalta, sillä se voi olla jopa yli 4. Poistoilmalämpöpumpulle ei arvoa ole annettu laisinkaan; tarkista valmistajalta.</t>
        </r>
      </text>
    </comment>
    <comment ref="AB33" authorId="0">
      <text>
        <r>
          <rPr>
            <sz val="9"/>
            <rFont val="Tahoma"/>
            <family val="2"/>
          </rPr>
          <t>Lämmitysmenetelmän vuosihyötysuhde katso D5 taulukko 3.1. Maalämpöpumpulle siinä annetaan kerroin 2.5; tarkista tämä kuitenkin valmistajalta, sillä se voi olla jopa yli 4. Poistoilmalämpöpumpulle ei arvoa ole annettu laisinkaan; tarkista valmistajalta.</t>
        </r>
      </text>
    </comment>
    <comment ref="L37" authorId="0">
      <text>
        <r>
          <rPr>
            <sz val="9"/>
            <rFont val="Tahoma"/>
            <family val="2"/>
          </rPr>
          <t>Sijaintipaikan säävyöhyke.</t>
        </r>
      </text>
    </comment>
    <comment ref="AA37" authorId="0">
      <text>
        <r>
          <rPr>
            <sz val="9"/>
            <rFont val="Tahoma"/>
            <family val="2"/>
          </rPr>
          <t>Lämmitysmenetelmän vuosihyötysuhde katso D5 taulukko 3.1. Maalämpöpumpulle siinä annetaan kerroin 2.5; tarkista tämä kuitenkin valmistajalta, sillä se voi olla jopa yli 4. Poistoilmalämpöpumpulle ei arvoa ole annettu laisinkaan; tarkista valmistajalta.</t>
        </r>
      </text>
    </comment>
    <comment ref="AB37" authorId="0">
      <text>
        <r>
          <rPr>
            <sz val="9"/>
            <rFont val="Tahoma"/>
            <family val="2"/>
          </rPr>
          <t>Lämmitysmenetelmän vuosihyötysuhde katso D5 taulukko 3.1. Maalämpöpumpulle siinä annetaan kerroin 2.5; tarkista tämä kuitenkin valmistajalta, sillä se voi olla jopa yli 4. Poistoilmalämpöpumpulle ei arvoa ole annettu laisinkaan; tarkista valmistajalta.</t>
        </r>
      </text>
    </comment>
    <comment ref="U52" authorId="0">
      <text>
        <r>
          <rPr>
            <sz val="9"/>
            <rFont val="Tahoma"/>
            <family val="2"/>
          </rPr>
          <t xml:space="preserve">Per paikallinen sähkölaitos (energia + siirto). </t>
        </r>
        <r>
          <rPr>
            <sz val="10"/>
            <rFont val="Tahoma"/>
            <family val="0"/>
          </rPr>
          <t xml:space="preserve">
</t>
        </r>
      </text>
    </comment>
    <comment ref="AB59" authorId="0">
      <text>
        <r>
          <rPr>
            <sz val="9"/>
            <rFont val="Tahoma"/>
            <family val="2"/>
          </rPr>
          <t>Tässä laskettu aikasähköllä: päivä 63% ja yö 37%. Peruste voi olla mikä tahansa muukin.</t>
        </r>
      </text>
    </comment>
    <comment ref="AB58" authorId="0">
      <text>
        <r>
          <rPr>
            <sz val="9"/>
            <rFont val="Tahoma"/>
            <family val="2"/>
          </rPr>
          <t>Tässä laskettu aikasähköllä: päivä 63% ja yö 37%. Peruste voi olla mikä tahansa muukin.</t>
        </r>
      </text>
    </comment>
    <comment ref="AB60" authorId="0">
      <text>
        <r>
          <rPr>
            <sz val="9"/>
            <rFont val="Tahoma"/>
            <family val="2"/>
          </rPr>
          <t>Tässä laskettu aikasähköllä: päivä 63% ja yö 37%. Peruste voi olla mikä tahansa muukin.</t>
        </r>
      </text>
    </comment>
    <comment ref="U64" authorId="0">
      <text>
        <r>
          <rPr>
            <sz val="9"/>
            <rFont val="Tahoma"/>
            <family val="2"/>
          </rPr>
          <t>Per paikallinen kaukolämpöyhtiö (calculator).</t>
        </r>
      </text>
    </comment>
    <comment ref="Z89" authorId="0">
      <text>
        <r>
          <rPr>
            <sz val="9"/>
            <rFont val="Tahoma"/>
            <family val="2"/>
          </rPr>
          <t>Hyödynnetty tilojen lämmityksessä.</t>
        </r>
      </text>
    </comment>
    <comment ref="Y108" authorId="0">
      <text>
        <r>
          <rPr>
            <sz val="9"/>
            <rFont val="Tahoma"/>
            <family val="2"/>
          </rPr>
          <t>Lämmitysmenetelmän vuosihyötysuhde katso D5, taulukko 3.1. Maalämpöpumpulle siinä annetaan kerroin 2.5; tarkista tämä kuitenkin valmistajalta, sillä se voi olla jopa yli 4. Poistoilmalämpöpumpulle ei arvoa ole annettu laisinkaan; tarkista valmistajalta.</t>
        </r>
      </text>
    </comment>
    <comment ref="K78" authorId="0">
      <text>
        <r>
          <rPr>
            <sz val="9"/>
            <rFont val="Tahoma"/>
            <family val="2"/>
          </rPr>
          <t>Energialaskennassa sijaintipaikan säävyöhyke; katso D5 taulukko L1.2-5.</t>
        </r>
      </text>
    </comment>
    <comment ref="O101" authorId="0">
      <text>
        <r>
          <rPr>
            <sz val="9"/>
            <rFont val="Tahoma"/>
            <family val="2"/>
          </rPr>
          <t>Rakennuksen aikavakion laskemiseksi katso tehollinen lämpökapasiteetti (Wh/brm</t>
        </r>
        <r>
          <rPr>
            <vertAlign val="superscript"/>
            <sz val="9"/>
            <rFont val="Tahoma"/>
            <family val="2"/>
          </rPr>
          <t>2</t>
        </r>
        <r>
          <rPr>
            <sz val="9"/>
            <rFont val="Tahoma"/>
            <family val="2"/>
          </rPr>
          <t>K) rakentamismääräykset D5 taulukosta 8.9.</t>
        </r>
      </text>
    </comment>
    <comment ref="AT14" authorId="0">
      <text>
        <r>
          <rPr>
            <sz val="9"/>
            <rFont val="Tahoma"/>
            <family val="2"/>
          </rPr>
          <t>D5 kohta 3.5: jäähdytysjärjestelmän hyötysuhde = 0.7. Varmistetaan LVIS-suunnittelijan  toimesta.</t>
        </r>
      </text>
    </comment>
    <comment ref="AT18" authorId="0">
      <text>
        <r>
          <rPr>
            <sz val="9"/>
            <rFont val="Tahoma"/>
            <family val="2"/>
          </rPr>
          <t>D5 kohta 3.5: jäähdytysjärjestelmän hyötysuhde = 0.7. Varmistetaan LVIS-suunnittelijan  toimesta.</t>
        </r>
      </text>
    </comment>
    <comment ref="AR14" authorId="0">
      <text>
        <r>
          <rPr>
            <sz val="9"/>
            <rFont val="Tahoma"/>
            <family val="2"/>
          </rPr>
          <t xml:space="preserve">D3 kohta 2.8.1 ja D5 L2: jäähdytyksen asetusarvo on 23 </t>
        </r>
        <r>
          <rPr>
            <vertAlign val="superscript"/>
            <sz val="9"/>
            <rFont val="Tahoma"/>
            <family val="2"/>
          </rPr>
          <t>o</t>
        </r>
        <r>
          <rPr>
            <sz val="9"/>
            <rFont val="Tahoma"/>
            <family val="2"/>
          </rPr>
          <t>C.</t>
        </r>
      </text>
    </comment>
    <comment ref="C88" authorId="0">
      <text>
        <r>
          <rPr>
            <sz val="9"/>
            <rFont val="Tahoma"/>
            <family val="2"/>
          </rPr>
          <t>Katso D5 taulukko 6.1, vähintään 2,000 kWh/a.</t>
        </r>
      </text>
    </comment>
    <comment ref="C89" authorId="0">
      <text>
        <r>
          <rPr>
            <sz val="9"/>
            <rFont val="Tahoma"/>
            <family val="2"/>
          </rPr>
          <t>Katso D5 talukko 6.1: Ominaislämpöhäviöt riippuvat lämmitysjärjestelmästä sekä lattialämmityksen kohdalla (ala)pohjan lämmöneristyksestä. 
Tässä matalaenergiatalossa on maalämpö-pumppu ja vesikiertoinen lattialämmitys, joten häviöt yhteensä ovat 5+6+4=15.</t>
        </r>
      </text>
    </comment>
    <comment ref="C90" authorId="0">
      <text>
        <r>
          <rPr>
            <sz val="9"/>
            <rFont val="Tahoma"/>
            <family val="2"/>
          </rPr>
          <t>Sisältyvät tilojen lämmönkehityksen häviöihin; katso D5 kohta 6.2.3.
Jos oma lämmönkehityslaite, vähintään 1,000 kWh/a.</t>
        </r>
      </text>
    </comment>
    <comment ref="C91" authorId="0">
      <text>
        <r>
          <rPr>
            <sz val="9"/>
            <rFont val="Tahoma"/>
            <family val="2"/>
          </rPr>
          <t>Katso D5 taulukko 6.2.</t>
        </r>
      </text>
    </comment>
    <comment ref="C92" authorId="0">
      <text>
        <r>
          <rPr>
            <sz val="9"/>
            <rFont val="Tahoma"/>
            <family val="2"/>
          </rPr>
          <t>Katso D5 kuva 6.2.</t>
        </r>
      </text>
    </comment>
    <comment ref="C97" authorId="0">
      <text>
        <r>
          <rPr>
            <sz val="9"/>
            <rFont val="Tahoma"/>
            <family val="2"/>
          </rPr>
          <t>Katso D5 kohta 8.1.</t>
        </r>
      </text>
    </comment>
    <comment ref="C100" authorId="0">
      <text>
        <r>
          <rPr>
            <sz val="9"/>
            <rFont val="Tahoma"/>
            <family val="2"/>
          </rPr>
          <t>Katso D5 taulukko 8.3.</t>
        </r>
      </text>
    </comment>
    <comment ref="E58" authorId="0">
      <text>
        <r>
          <rPr>
            <sz val="9"/>
            <rFont val="Tahoma"/>
            <family val="2"/>
          </rPr>
          <t>Vertailuarvo D2 kohta 3.4.3.</t>
        </r>
      </text>
    </comment>
    <comment ref="AP80" authorId="0">
      <text>
        <r>
          <rPr>
            <sz val="9"/>
            <rFont val="Tahoma"/>
            <family val="2"/>
          </rPr>
          <t>Lämmitystehontarve lasketaan D5 kohta 9 mukaisesti.
Varmistus LVIS-suunnittelijan toimesta.</t>
        </r>
      </text>
    </comment>
    <comment ref="AQ84" authorId="0">
      <text>
        <r>
          <rPr>
            <sz val="9"/>
            <rFont val="Tahoma"/>
            <family val="2"/>
          </rPr>
          <t>Lähtötiedot ilmanvaihtojärjestelmän/LTO:n valmistajalta. Eri laitteiden toimintatapa, tehokkuus ja lähtöarvot vaihtelevat suuresti.
Tässä laskennassa on tehokas pyörivä LTO, ja järjestelmä on varustettu vesikiertoisella tuloilman jälkilämmityskennostolla, jossa kiertää lattioiden lämmitysvesi (32</t>
        </r>
        <r>
          <rPr>
            <vertAlign val="superscript"/>
            <sz val="9"/>
            <rFont val="Tahoma"/>
            <family val="2"/>
          </rPr>
          <t>o</t>
        </r>
        <r>
          <rPr>
            <sz val="9"/>
            <rFont val="Tahoma"/>
            <family val="2"/>
          </rPr>
          <t>C).</t>
        </r>
      </text>
    </comment>
    <comment ref="AQ90" authorId="0">
      <text>
        <r>
          <rPr>
            <sz val="9"/>
            <rFont val="Tahoma"/>
            <family val="2"/>
          </rPr>
          <t>D5 kohta 9: hyötysuhteena käytetään 0.9.
Tuloilmapatterin lämmityksen vaatima teho laskettu tässä kuitenkin maalämpöpumpun vuosihyötysuhteella.</t>
        </r>
      </text>
    </comment>
    <comment ref="L41" authorId="0">
      <text>
        <r>
          <rPr>
            <sz val="9"/>
            <rFont val="Tahoma"/>
            <family val="2"/>
          </rPr>
          <t>Katso maalajin merkitys D5 taulukko 4.1.</t>
        </r>
      </text>
    </comment>
    <comment ref="X18" authorId="0">
      <text>
        <r>
          <rPr>
            <sz val="9"/>
            <rFont val="Tahoma"/>
            <family val="2"/>
          </rPr>
          <t>Auringon kokonaissäteilyn läpäisykerroin g valmistajalta (tai D5 kaava 8.7 ja taulukko 8.4).
Läpäisykerroin F per ilmansuunta &amp; kuukausi laskettu erikseen ja sijoitettu kaavoihin (katso myös D5 taulukko 8.6).</t>
        </r>
      </text>
    </comment>
    <comment ref="L35" authorId="0">
      <text>
        <r>
          <rPr>
            <sz val="9"/>
            <rFont val="Tahoma"/>
            <family val="2"/>
          </rPr>
          <t>Tarkista maaperän merkitys D5 taulukko 4.1</t>
        </r>
      </text>
    </comment>
    <comment ref="AQ93" authorId="0">
      <text>
        <r>
          <rPr>
            <sz val="9"/>
            <rFont val="Tahoma"/>
            <family val="2"/>
          </rPr>
          <t>Laskettu tässä maalämpöpumpun vuosihyötysuhteella.
Mukana on myös kiertojohdon vaatima teho, joka kuitenkin on marginaalinen.</t>
        </r>
      </text>
    </comment>
    <comment ref="L99" authorId="0">
      <text>
        <r>
          <rPr>
            <sz val="9"/>
            <rFont val="Tahoma"/>
            <family val="2"/>
          </rPr>
          <t>Tuloilmaa voi lämmittää myös lattialämmityksen kiertovedellä; tällöin kaukolämmön ja varsinkin (maa)lämpöpumpun kyseessäollen patterin kuluttaman sähköenergian määrä vähenee.</t>
        </r>
      </text>
    </comment>
    <comment ref="Q14" authorId="0">
      <text>
        <r>
          <rPr>
            <sz val="9"/>
            <rFont val="Tahoma"/>
            <family val="2"/>
          </rPr>
          <t>Katso D5 talukko 6.1: Ominaislämpöhäviöt riippuvat lämmitysjärjestelmästä sekä lattialämmityksen kohdalla (ala)pohjan lämmöneristyksestä. 
Tässä matalaenergiatalossa on maalämpö-pumppu ja vesikiertoinen lattialämmitys, joten häviöt yhteensä ovat 5+6+4=15.
Onko lämmitysvesivaraajaa, katso D5 kuva 6.1.</t>
        </r>
      </text>
    </comment>
    <comment ref="T58" authorId="0">
      <text>
        <r>
          <rPr>
            <sz val="9"/>
            <rFont val="Tahoma"/>
            <family val="2"/>
          </rPr>
          <t>Sähkölämmitys</t>
        </r>
      </text>
    </comment>
    <comment ref="T59" authorId="0">
      <text>
        <r>
          <rPr>
            <sz val="9"/>
            <rFont val="Tahoma"/>
            <family val="2"/>
          </rPr>
          <t>Kaukolämmmitys</t>
        </r>
      </text>
    </comment>
    <comment ref="T60" authorId="0">
      <text>
        <r>
          <rPr>
            <sz val="9"/>
            <rFont val="Tahoma"/>
            <family val="2"/>
          </rPr>
          <t>Lämpöpumppu; maa/kalliolämpöpumpulla paras hyötysuhde.</t>
        </r>
      </text>
    </comment>
  </commentList>
</comments>
</file>

<file path=xl/comments5.xml><?xml version="1.0" encoding="utf-8"?>
<comments xmlns="http://schemas.openxmlformats.org/spreadsheetml/2006/main">
  <authors>
    <author>Olavi Tupam?ki</author>
  </authors>
  <commentList>
    <comment ref="B19" authorId="0">
      <text>
        <r>
          <rPr>
            <sz val="9"/>
            <rFont val="Tahoma"/>
            <family val="2"/>
          </rPr>
          <t>Ruksaa itse ruudulla.</t>
        </r>
      </text>
    </comment>
    <comment ref="B33" authorId="0">
      <text>
        <r>
          <rPr>
            <sz val="9"/>
            <rFont val="Tahoma"/>
            <family val="2"/>
          </rPr>
          <t>Ruksaa itse ruudulla.</t>
        </r>
      </text>
    </comment>
    <comment ref="B54" authorId="0">
      <text>
        <r>
          <rPr>
            <sz val="9"/>
            <rFont val="Tahoma"/>
            <family val="2"/>
          </rPr>
          <t>Ruksaa itse ruudulla.</t>
        </r>
      </text>
    </comment>
  </commentList>
</comments>
</file>

<file path=xl/comments6.xml><?xml version="1.0" encoding="utf-8"?>
<comments xmlns="http://schemas.openxmlformats.org/spreadsheetml/2006/main">
  <authors>
    <author>Olavi Tupam?ki</author>
  </authors>
  <commentList>
    <comment ref="B45" authorId="0">
      <text>
        <r>
          <rPr>
            <sz val="9"/>
            <rFont val="Tahoma"/>
            <family val="2"/>
          </rPr>
          <t xml:space="preserve">Katso D3 kohta 2.8.1 ja D5 L2: jäähdytyksen asetusarvo on 23 </t>
        </r>
        <r>
          <rPr>
            <vertAlign val="superscript"/>
            <sz val="9"/>
            <rFont val="Tahoma"/>
            <family val="2"/>
          </rPr>
          <t>o</t>
        </r>
        <r>
          <rPr>
            <sz val="9"/>
            <rFont val="Tahoma"/>
            <family val="2"/>
          </rPr>
          <t>C.</t>
        </r>
      </text>
    </comment>
    <comment ref="B81" authorId="0">
      <text>
        <r>
          <rPr>
            <sz val="9"/>
            <rFont val="Tahoma"/>
            <family val="2"/>
          </rPr>
          <t>Ruksaa itse ruudulla ET-todistuksen mukaisesti.</t>
        </r>
      </text>
    </comment>
    <comment ref="B73" authorId="0">
      <text>
        <r>
          <rPr>
            <sz val="9"/>
            <rFont val="Tahoma"/>
            <family val="2"/>
          </rPr>
          <t xml:space="preserve">Täytä itse ruudulla (copy - paste value) lopulta valitsemasi lämmitystavan mukaisesti; lehti </t>
        </r>
        <r>
          <rPr>
            <i/>
            <sz val="9"/>
            <rFont val="Tahoma"/>
            <family val="2"/>
          </rPr>
          <t>Tasaus- ja energialaskenta</t>
        </r>
        <r>
          <rPr>
            <sz val="9"/>
            <rFont val="Tahoma"/>
            <family val="2"/>
          </rPr>
          <t>, sarake Z.</t>
        </r>
      </text>
    </comment>
  </commentList>
</comments>
</file>

<file path=xl/sharedStrings.xml><?xml version="1.0" encoding="utf-8"?>
<sst xmlns="http://schemas.openxmlformats.org/spreadsheetml/2006/main" count="1449" uniqueCount="749">
  <si>
    <t>Automaattista laskentaa on lisätty, energiakustannusten laskentaa on monipuolistettu ja grafiikkojen muodostumista täsmennetty.
1  Lähtötietoihin on lisätty useita rivejä, jotka mahdollistavat laajemman automaattisen laskennan antamillasi lähtötiedoilla (vastaavasti sinisiä soluja on vähennetty tarpeettomina). Lisärivit koskevat lämmityksen ja lämpimän käyttöveden häviöitä, maalajia maanvastaisessa perustamisessa sekä eräitä ilmanvaihto/LTO-järjestelmään liittyviä tietoja.
2  Ohjelmalla voi laskea ostoenergian kulutuksen (kWh) kaikilla lämmöntuottotavoilla. 
3  Ohjelmalla voi laskea ostoenergian kustannukset paikallisilla hinnoilla ja halutuilla hintaperusteilla kolmella erilaisella lämmöntuottotavalla: sähkö, kaukolämpö ja lämpöpumppu missä tahansa.
4  Ohjelma sisältää päivitetyt energian hinnat (Jyväskylä, Espoo) per syksy 2008.
5  Pientä asettelua, editointia ja parantamista.</t>
  </si>
  <si>
    <t>Ohjelman muodossa on pyritty yksinkertaisuuteen ja havainnollisuuteen. Ohjelman laskentaosiot on sijoitettu kukin yhdelle Excel-lehdelle (sheet). Siitä kuitenkin saa tulostettua käyttökelpoisen monisivuisen A4-raportin; asian havainnollistamiseksi voit halutessasi sivuttaa (page brake preview) lehden. Samoin kukin tulostusasiakirja on omalla Excel-sivullaan, mistä ne tulostuvat A4-kokoon. Lehdellä on tilaa myös avustaville laskelmille, muistiinpanoille etc (kuten esim), jotka eivät vaikuta tuloksiin.</t>
  </si>
  <si>
    <t>Sähkö/Kaukolämpö/Maalämpöpumppu</t>
  </si>
  <si>
    <t xml:space="preserve">NOTE: D1 kohdan 2.3.10.3 mukaisesti "...asuntokohtaisen sähkölämmitteisen käyttövesivaraajan veden </t>
  </si>
  <si>
    <t xml:space="preserve">saatavuus on yleensä riittävä, jos varaajan vesitilavuus on vähintään 300 litraa ja lämmitysteho </t>
  </si>
  <si>
    <t>vähintään 3 kW.".</t>
  </si>
  <si>
    <r>
      <t xml:space="preserve">Kiristyvien energiamääräysten (luonnos 17.06.2008) myötä myös tuoretta </t>
    </r>
    <r>
      <rPr>
        <b/>
        <sz val="9"/>
        <rFont val="Arial"/>
        <family val="2"/>
      </rPr>
      <t xml:space="preserve">energiatodistusluokitusta </t>
    </r>
    <r>
      <rPr>
        <sz val="9"/>
        <rFont val="Arial"/>
        <family val="2"/>
      </rPr>
      <t xml:space="preserve"> </t>
    </r>
  </si>
  <si>
    <t>0 kW</t>
  </si>
  <si>
    <t>OMAT LASKELMAT</t>
  </si>
  <si>
    <t>OMAT LISÄTIEDOT</t>
  </si>
  <si>
    <r>
      <t xml:space="preserve">ET-luku, joka tuntuu asukkaan kukkarossa. Lopulta tulee ottaa käyttöön vielä </t>
    </r>
    <r>
      <rPr>
        <b/>
        <sz val="9"/>
        <rFont val="Arial"/>
        <family val="2"/>
      </rPr>
      <t>primäärienergiakertoimet</t>
    </r>
    <r>
      <rPr>
        <sz val="9"/>
        <rFont val="Arial"/>
        <family val="2"/>
      </rPr>
      <t>,</t>
    </r>
  </si>
  <si>
    <t>mikä ottaa huomioon myös talon lämmitykseen käytetyn energiamuodon tuotantotavan. Kun jatkossa</t>
  </si>
  <si>
    <t>www.ymparisto.fi/download.asp?contentid=69993&amp;lan=FI</t>
  </si>
  <si>
    <t>www.ymparisto.fi/default.asp?node=1364&amp;lan=fi</t>
  </si>
  <si>
    <t xml:space="preserve">vaihtelevat suuresti. Niinpä varsinkin ilmanvaihdon tehontarvetta koskevat laskelmat kannattaa tehdä erikseen; lähtö- </t>
  </si>
  <si>
    <t xml:space="preserve">arvot ja valmiita laskelmiakin valmistajilta. </t>
  </si>
  <si>
    <t>Tehon tarve laskettu maalämpöpumpun hyötysuhteella.</t>
  </si>
  <si>
    <r>
      <t xml:space="preserve">Tämä ohjelma on tarkoitettu käytettäväksi ensisijaisesti omakotitaloa tai muuta pientä asuinrakennusta (enintään kuusi asuntoa) koskevan </t>
    </r>
    <r>
      <rPr>
        <b/>
        <sz val="10"/>
        <rFont val="Arial"/>
        <family val="0"/>
      </rPr>
      <t>energiatodistuksen</t>
    </r>
    <r>
      <rPr>
        <sz val="10"/>
        <rFont val="Arial"/>
        <family val="0"/>
      </rPr>
      <t xml:space="preserve"> sekä rakennusluvan hakemisessa tarvittavan </t>
    </r>
    <r>
      <rPr>
        <b/>
        <sz val="10"/>
        <rFont val="Arial"/>
        <family val="0"/>
      </rPr>
      <t>energiaselvityksen</t>
    </r>
    <r>
      <rPr>
        <sz val="10"/>
        <rFont val="Arial"/>
        <family val="0"/>
      </rPr>
      <t xml:space="preserve"> vaatimaan laskentaan [Asetus rakennuksen energiatodistuksesta, Rakentamis-määäräykset C3-, D3- ja D5-2007]. Ohjelma tuottaa automaattisesti kaikki tarvittavat asiakirjat:</t>
    </r>
  </si>
  <si>
    <t>JÄÄHDYTYS</t>
  </si>
  <si>
    <t>LÄMMITYSTAPAVERTAILU: OSTOENERGIAN KULUTUS &amp; KUSTANNUS</t>
  </si>
  <si>
    <r>
      <t>Lähtötiedot (</t>
    </r>
    <r>
      <rPr>
        <u val="single"/>
        <sz val="10"/>
        <rFont val="Arial"/>
        <family val="2"/>
      </rPr>
      <t>keltaiset solut</t>
    </r>
    <r>
      <rPr>
        <sz val="10"/>
        <rFont val="Arial"/>
        <family val="0"/>
      </rPr>
      <t xml:space="preserve">) ovat lehdellä </t>
    </r>
    <r>
      <rPr>
        <i/>
        <sz val="10"/>
        <rFont val="Arial"/>
        <family val="0"/>
      </rPr>
      <t>ET-luvun laskenta</t>
    </r>
    <r>
      <rPr>
        <sz val="10"/>
        <rFont val="Arial"/>
        <family val="0"/>
      </rPr>
      <t xml:space="preserve">. Kuitenkin sijaintipaikan ulkolämpötilat ja auringon säteilyenergian tiedot pitää näpytellä lehdelle </t>
    </r>
    <r>
      <rPr>
        <i/>
        <sz val="10"/>
        <rFont val="Arial"/>
        <family val="0"/>
      </rPr>
      <t>Tasaus- ja energialaskenta</t>
    </r>
    <r>
      <rPr>
        <sz val="10"/>
        <rFont val="Arial"/>
        <family val="0"/>
      </rPr>
      <t xml:space="preserve"> (tässä on mahdollista tarvittaessa laskea puolilämpimien tilojen vaikutus; sijoita tiedot ja laskennat suoraan taulukkoon), samoin tietenkin käytettävän lämmitysenergian hintatiedot sijaintipaikalla.</t>
    </r>
  </si>
  <si>
    <t>Oikeasti tilojen jäähdytyksestä aiheutuva energiankulutus riippuu kuitenkin jäähdytyksen tuotantotavasta; sähkö-</t>
  </si>
  <si>
    <t>maakylmäpumppuna. Tämä tarkoittaa sitä, että pumpun viileä kiertoliuos kulkee ilmanvaihtojärjestelmän yhteyteen</t>
  </si>
  <si>
    <r>
      <t xml:space="preserve">asennetun jäähdytyskennoston kautta, jolloin tiloihin puhallettava ilmanvaihdon tuloilma jäähtyy jopa 10 </t>
    </r>
    <r>
      <rPr>
        <vertAlign val="superscript"/>
        <sz val="9"/>
        <rFont val="Arial"/>
        <family val="2"/>
      </rPr>
      <t>o</t>
    </r>
    <r>
      <rPr>
        <sz val="9"/>
        <rFont val="Arial"/>
        <family val="2"/>
      </rPr>
      <t>C. Järjestelmä</t>
    </r>
  </si>
  <si>
    <t>vaatii tyypillisesti pienen apuvesipumpun, jonka kuluttama vuotuinen sähköenergian määrä on vähäisestä käyttö-</t>
  </si>
  <si>
    <t>ajastakin johtuen mitätön (1-2 % taloussähköstä). Liuoksen kierto taas tarvitaan joka tapauksessa kylpyhuoneiden ja</t>
  </si>
  <si>
    <t>muiden kivilattioiden mukavuuslämmityksen takia.</t>
  </si>
  <si>
    <t>joudutaan tarkistamaan; ainakin lisäämään entistä energiatehokkaampia luokkia A+ ja A++, kuten edus-</t>
  </si>
  <si>
    <r>
      <t xml:space="preserve">kunta edellyttikin jo helmikuussa 2007. Samalla tulisi ottaa käyttöön </t>
    </r>
    <r>
      <rPr>
        <b/>
        <sz val="9"/>
        <rFont val="Arial"/>
        <family val="2"/>
      </rPr>
      <t>ostoenergian ET-luokitus</t>
    </r>
    <r>
      <rPr>
        <sz val="9"/>
        <rFont val="Arial"/>
        <family val="2"/>
      </rPr>
      <t>, mikä</t>
    </r>
  </si>
  <si>
    <t xml:space="preserve">ottaa huomioon myös lämmön tuottamistavan (sähkö, kaukolämpö. lämpöpumppu etc); tämä on se </t>
  </si>
  <si>
    <t>Energiatodistus perustuu lakiin rakennusten energiatodistuksesta (487/2007) ja 19.6 2007 annettuun ympäristö-</t>
  </si>
  <si>
    <t>ministeriön asetukseen energiatodistuksista. Tämä energiatodistus on asetuksen lomakkeen 1 mukainen.</t>
  </si>
  <si>
    <t>Rakennuksen ostoenergiankulutus energialajeittain säävyöhykkeen tai sijaintipaikkakunnan säätiedoilla:</t>
  </si>
  <si>
    <r>
      <t xml:space="preserve">vihdoin siirrytään </t>
    </r>
    <r>
      <rPr>
        <b/>
        <sz val="9"/>
        <rFont val="Arial"/>
        <family val="2"/>
      </rPr>
      <t>kokonaisenergiankulutukseen</t>
    </r>
    <r>
      <rPr>
        <sz val="9"/>
        <rFont val="Arial"/>
        <family val="0"/>
      </rPr>
      <t xml:space="preserve"> perustuvaan sääntelyyn, niin tämäkin toive toteutunee.</t>
    </r>
  </si>
  <si>
    <t>rakennusta ilmanvaihtojärjestelmän kautta viileänä yöaikana, eikä ikkunoiden avaaminenkaan ole toistaiseksi kiellettyä.</t>
  </si>
  <si>
    <r>
      <t xml:space="preserve">1    Energiatodistus </t>
    </r>
    <r>
      <rPr>
        <sz val="12"/>
        <rFont val="Arial"/>
        <family val="2"/>
      </rPr>
      <t>(aina säävyöhyke III Jyväskylä)</t>
    </r>
  </si>
  <si>
    <r>
      <t>2    Tasauslaskelma</t>
    </r>
    <r>
      <rPr>
        <sz val="12"/>
        <rFont val="Arial"/>
        <family val="2"/>
      </rPr>
      <t xml:space="preserve"> (sijaintipaikan säävyöhyke)</t>
    </r>
  </si>
  <si>
    <t>Jäteilman lämpötila</t>
  </si>
  <si>
    <r>
      <t>o</t>
    </r>
    <r>
      <rPr>
        <sz val="9"/>
        <rFont val="Arial"/>
        <family val="0"/>
      </rPr>
      <t>C</t>
    </r>
  </si>
  <si>
    <r>
      <t>Kuten yleensä, tämä ohjelma toimitetaan muodossa "protected, locked &amp; hidden". Ison kohteen tai muutoin poikkeuksellisen tarkassa laskennassa eräitä projektikohtaisa tekijöitä voidaan kuitenkin tarkistaa. Tällaisia tekijöitä ovat erikseen laskettu läpäisykerroin F per ilmansuunta &amp; kuukausi (katso D5 taulukko 8.6) auringon säteilyenergiasta johtuvan lämpökuorman laskennassa sekä sähkön hinnan erilaiset laskentaperusteet. Näissä kohdissa (</t>
    </r>
    <r>
      <rPr>
        <u val="single"/>
        <sz val="10"/>
        <rFont val="Arial"/>
        <family val="2"/>
      </rPr>
      <t>siniset solut</t>
    </r>
    <r>
      <rPr>
        <sz val="10"/>
        <rFont val="Arial"/>
        <family val="2"/>
      </rPr>
      <t>) laskentakaavat näkyvät ja niiden tekijöitä voidaan muuttaa hankkeesi mukaisiksi.</t>
    </r>
  </si>
  <si>
    <r>
      <t>3    Määräystenmukaisuuden tarkistuslista</t>
    </r>
    <r>
      <rPr>
        <sz val="12"/>
        <rFont val="Arial"/>
        <family val="2"/>
      </rPr>
      <t xml:space="preserve"> (sijaintipaikan säävyöhyke)</t>
    </r>
  </si>
  <si>
    <r>
      <t>4    Energiaselvitys</t>
    </r>
    <r>
      <rPr>
        <sz val="12"/>
        <rFont val="Arial"/>
        <family val="2"/>
      </rPr>
      <t xml:space="preserve"> (kokonaisuudessaan)</t>
    </r>
  </si>
  <si>
    <r>
      <t>5</t>
    </r>
    <r>
      <rPr>
        <sz val="12"/>
        <rFont val="Arial"/>
        <family val="2"/>
      </rPr>
      <t xml:space="preserve">    Helpon </t>
    </r>
    <r>
      <rPr>
        <b/>
        <sz val="12"/>
        <rFont val="Arial"/>
        <family val="2"/>
      </rPr>
      <t>lämmitystapojen vertailun</t>
    </r>
    <r>
      <rPr>
        <sz val="12"/>
        <rFont val="Arial"/>
        <family val="2"/>
      </rPr>
      <t>: sähkö, kaukolämpö ja lämpöpumppu.</t>
    </r>
  </si>
  <si>
    <r>
      <t xml:space="preserve">This program is good for Office 97 &amp; WIN 98 </t>
    </r>
    <r>
      <rPr>
        <sz val="10"/>
        <rFont val="Wingdings"/>
        <family val="0"/>
      </rPr>
      <t>ð</t>
    </r>
    <r>
      <rPr>
        <sz val="10"/>
        <rFont val="Arial"/>
        <family val="0"/>
      </rPr>
      <t xml:space="preserve"> Office XP &amp; WIN XP </t>
    </r>
    <r>
      <rPr>
        <sz val="10"/>
        <rFont val="Wingdings"/>
        <family val="0"/>
      </rPr>
      <t>ð</t>
    </r>
    <r>
      <rPr>
        <sz val="10"/>
        <rFont val="Arial"/>
        <family val="0"/>
      </rPr>
      <t xml:space="preserve"> Office 2007 &amp; WIN Vista.</t>
    </r>
  </si>
  <si>
    <r>
      <t>This license is for one user only</t>
    </r>
    <r>
      <rPr>
        <sz val="10"/>
        <rFont val="Arial"/>
        <family val="2"/>
      </rPr>
      <t>. Please read the Legal Notice available in Villa Real Online Bookshop.</t>
    </r>
  </si>
  <si>
    <r>
      <t>6</t>
    </r>
    <r>
      <rPr>
        <sz val="12"/>
        <rFont val="Arial"/>
        <family val="2"/>
      </rPr>
      <t xml:space="preserve">    Energiankulutuksen </t>
    </r>
    <r>
      <rPr>
        <b/>
        <sz val="12"/>
        <rFont val="Arial"/>
        <family val="2"/>
      </rPr>
      <t>vuotuiset kustannukset</t>
    </r>
    <r>
      <rPr>
        <sz val="12"/>
        <rFont val="Arial"/>
        <family val="2"/>
      </rPr>
      <t xml:space="preserve"> kuten myös </t>
    </r>
    <r>
      <rPr>
        <b/>
        <sz val="12"/>
        <rFont val="Arial"/>
        <family val="2"/>
      </rPr>
      <t>kuukausilaskun per huoneistoala eri lämmitystavoilla</t>
    </r>
    <r>
      <rPr>
        <sz val="12"/>
        <rFont val="Arial"/>
        <family val="2"/>
      </rPr>
      <t>.</t>
    </r>
  </si>
  <si>
    <r>
      <t>7</t>
    </r>
    <r>
      <rPr>
        <sz val="12"/>
        <rFont val="Arial"/>
        <family val="2"/>
      </rPr>
      <t xml:space="preserve">    Havainnolliset </t>
    </r>
    <r>
      <rPr>
        <b/>
        <sz val="12"/>
        <rFont val="Arial"/>
        <family val="2"/>
      </rPr>
      <t>grafiikat</t>
    </r>
    <r>
      <rPr>
        <sz val="12"/>
        <rFont val="Arial"/>
        <family val="2"/>
      </rPr>
      <t>: (1) Energian ja (2) Ostoenergian kulutus kuukausittain,
(3) Vuosikustannukset ja (4) Kuukausimaksu per huoneistoala eri lämmitystavoilla.</t>
    </r>
  </si>
  <si>
    <r>
      <t>7</t>
    </r>
    <r>
      <rPr>
        <sz val="10"/>
        <rFont val="Arial"/>
        <family val="0"/>
      </rPr>
      <t xml:space="preserve">    Havainnolliset </t>
    </r>
    <r>
      <rPr>
        <b/>
        <sz val="10"/>
        <rFont val="Arial"/>
        <family val="0"/>
      </rPr>
      <t>grafiikat</t>
    </r>
    <r>
      <rPr>
        <sz val="10"/>
        <rFont val="Arial"/>
        <family val="0"/>
      </rPr>
      <t>: (1) Energian ja (2) Ostoenergian kulutus kuukausittain sekä (3) Vuosikustannukset ja (4) Kuukausimaksu per huoneistoala eri lämmitystavoilla.</t>
    </r>
  </si>
  <si>
    <r>
      <t>FutureConstruct</t>
    </r>
    <r>
      <rPr>
        <b/>
        <vertAlign val="superscript"/>
        <sz val="48"/>
        <color indexed="17"/>
        <rFont val="Arial"/>
        <family val="2"/>
      </rPr>
      <t>®</t>
    </r>
    <r>
      <rPr>
        <b/>
        <sz val="48"/>
        <color indexed="17"/>
        <rFont val="Arial"/>
        <family val="2"/>
      </rPr>
      <t xml:space="preserve"> Energia 2.0</t>
    </r>
  </si>
  <si>
    <r>
      <t xml:space="preserve">Tämä ohjelma on tarkoitettu käytettäväksi ensisijaisesti omakotitaloa tai muuta pientä asuinrakennusta (enintään kuusi asuntoa) koskevan </t>
    </r>
    <r>
      <rPr>
        <b/>
        <sz val="12"/>
        <rFont val="Arial"/>
        <family val="0"/>
      </rPr>
      <t>energiatodistuksen</t>
    </r>
    <r>
      <rPr>
        <sz val="12"/>
        <rFont val="Arial"/>
        <family val="0"/>
      </rPr>
      <t xml:space="preserve"> sekä rakennusluvan hakemisessa tarvittavan </t>
    </r>
    <r>
      <rPr>
        <b/>
        <sz val="12"/>
        <rFont val="Arial"/>
        <family val="0"/>
      </rPr>
      <t>energiaselvityksen</t>
    </r>
    <r>
      <rPr>
        <sz val="12"/>
        <rFont val="Arial"/>
        <family val="0"/>
      </rPr>
      <t xml:space="preserve"> vaatimaan laskentaan [Asetus rakennuksen energiatodistuksesta, Rakentamismäääräykset C3-, D3- ja D5-2007]. Ohjelma tuottaa automaattisesti kaikki tarvittavat Ympäristöministeriön energialaskentaohjeiden 17.04.2008 mukaiset todistukset ja asiakirjat:</t>
    </r>
  </si>
  <si>
    <t>2-kerroksinen erillinen pientalo</t>
  </si>
  <si>
    <t>Rakennuslupatunnus</t>
  </si>
  <si>
    <t>Tulos: Suunitteluratkaisu</t>
  </si>
  <si>
    <r>
      <t xml:space="preserve">Rakennuksen laajuus ja muut perustiedot: </t>
    </r>
    <r>
      <rPr>
        <b/>
        <sz val="9"/>
        <rFont val="Arial"/>
        <family val="2"/>
      </rPr>
      <t>liite 1</t>
    </r>
  </si>
  <si>
    <t xml:space="preserve">Tuloilmapatterin </t>
  </si>
  <si>
    <t>lämmitys</t>
  </si>
  <si>
    <t>Tuloilmavirta per poistoilmavirta (R)</t>
  </si>
  <si>
    <t>Tuloilmapatt. tehontarve</t>
  </si>
  <si>
    <t>(9.2)</t>
  </si>
  <si>
    <r>
      <t xml:space="preserve">Lämpöhäviöiden tasauslaskelma ja määräysten-mukaisuuden tarkistuslista: </t>
    </r>
    <r>
      <rPr>
        <b/>
        <sz val="9"/>
        <rFont val="Arial"/>
        <family val="2"/>
      </rPr>
      <t>liite 2 &amp; 3</t>
    </r>
  </si>
  <si>
    <r>
      <t xml:space="preserve">Energiatodistus: </t>
    </r>
    <r>
      <rPr>
        <b/>
        <sz val="9"/>
        <rFont val="Arial"/>
        <family val="2"/>
      </rPr>
      <t>liite 4</t>
    </r>
  </si>
  <si>
    <t>ENERGIASELVITYKSEN TÄYTTÖOHJE</t>
  </si>
  <si>
    <t>Liitteet:</t>
  </si>
  <si>
    <t>Numerotieto ym syntyy automaattisesti.</t>
  </si>
  <si>
    <r>
      <t>6</t>
    </r>
    <r>
      <rPr>
        <sz val="10"/>
        <rFont val="Arial"/>
        <family val="0"/>
      </rPr>
      <t xml:space="preserve">    Energiankulutuksen </t>
    </r>
    <r>
      <rPr>
        <b/>
        <sz val="10"/>
        <rFont val="Arial"/>
        <family val="0"/>
      </rPr>
      <t>vuotuiset kustannukset</t>
    </r>
    <r>
      <rPr>
        <sz val="10"/>
        <rFont val="Arial"/>
        <family val="0"/>
      </rPr>
      <t xml:space="preserve"> kuten myös </t>
    </r>
    <r>
      <rPr>
        <b/>
        <sz val="10"/>
        <rFont val="Arial"/>
        <family val="0"/>
      </rPr>
      <t>kuukausilaskun per huoneistoala eri lämmitystavoilla</t>
    </r>
    <r>
      <rPr>
        <sz val="10"/>
        <rFont val="Arial"/>
        <family val="0"/>
      </rPr>
      <t>.</t>
    </r>
  </si>
  <si>
    <t>I  Helsinki-Vantaa 1979</t>
  </si>
  <si>
    <r>
      <t xml:space="preserve">Havainnollisuuden vuoksi ohjelma ei ole "tyhjä", vaan sisältää konkreettisen esimerkin: Se on Espooseen rakennettava kevytbetonirakenteinen matalaenergiatalo maalämpöpumpulla. </t>
    </r>
    <r>
      <rPr>
        <b/>
        <sz val="10"/>
        <rFont val="Arial"/>
        <family val="0"/>
      </rPr>
      <t xml:space="preserve">Muuta kaikki </t>
    </r>
    <r>
      <rPr>
        <b/>
        <u val="single"/>
        <sz val="10"/>
        <rFont val="Arial"/>
        <family val="0"/>
      </rPr>
      <t>data</t>
    </r>
    <r>
      <rPr>
        <b/>
        <sz val="10"/>
        <rFont val="Arial"/>
        <family val="0"/>
      </rPr>
      <t xml:space="preserve"> oman kohteesi mukaiseksi!</t>
    </r>
    <r>
      <rPr>
        <sz val="10"/>
        <rFont val="Arial"/>
        <family val="0"/>
      </rPr>
      <t xml:space="preserve"> Säilytä tämä originaali kuitenkin koskemattomana.</t>
    </r>
  </si>
  <si>
    <t>ENERGIASELVITYS</t>
  </si>
  <si>
    <t xml:space="preserve">     Energiaselvitys</t>
  </si>
  <si>
    <t>ENERGIAKUSTANNUSTEN LASKENTA</t>
  </si>
  <si>
    <t>Tuloilman lämpötilan asetusarvo</t>
  </si>
  <si>
    <r>
      <t>Kirjoita selitystekstit oman rakennuskohteesi mukaisesti</t>
    </r>
    <r>
      <rPr>
        <sz val="10"/>
        <rFont val="Arial"/>
        <family val="0"/>
      </rPr>
      <t>; katso esimerkki.</t>
    </r>
  </si>
  <si>
    <r>
      <t xml:space="preserve">Energiaselvityksessä ostoenergiankulutuksen merkitsemistä on muutettu siten, että kulutukset kaikilla valituilla energialajeilla täytetään itse ruudulla (katso yllä </t>
    </r>
    <r>
      <rPr>
        <i/>
        <sz val="10"/>
        <rFont val="Arial"/>
        <family val="2"/>
      </rPr>
      <t>Energiaselvityksen täyttöohje</t>
    </r>
    <r>
      <rPr>
        <sz val="10"/>
        <rFont val="Arial"/>
        <family val="0"/>
      </rPr>
      <t>).
Pientä parantelua ja sievistelyä.</t>
    </r>
  </si>
  <si>
    <r>
      <t>Ostoenergiankulutus energialajeittain kuitenkin täytä itse ruudulla (copy - paste value)</t>
    </r>
    <r>
      <rPr>
        <sz val="10"/>
        <rFont val="Arial"/>
        <family val="0"/>
      </rPr>
      <t xml:space="preserve"> lopulta valitsemasi lämmöntuottotavan mukaisesti; kulutusmäärät lehdeltä </t>
    </r>
    <r>
      <rPr>
        <i/>
        <sz val="10"/>
        <rFont val="Arial"/>
        <family val="2"/>
      </rPr>
      <t>Tasaus- ja energialaskenta</t>
    </r>
    <r>
      <rPr>
        <sz val="10"/>
        <rFont val="Arial"/>
        <family val="0"/>
      </rPr>
      <t xml:space="preserve">, sarake </t>
    </r>
    <r>
      <rPr>
        <i/>
        <sz val="10"/>
        <rFont val="Arial"/>
        <family val="2"/>
      </rPr>
      <t>Z</t>
    </r>
    <r>
      <rPr>
        <sz val="10"/>
        <rFont val="Arial"/>
        <family val="0"/>
      </rPr>
      <t>. Huomannet sen, että jos lämmöntuottotapa on kaukolämpö tai polttoaine (öljy, puu, pelletti etc), niin silloin nämä energiankulutusmäärät (kWh/a) tulevat kukin omalle rivilleen, kuten myös (talous)sähkö omalle rivilleen.</t>
    </r>
  </si>
  <si>
    <t>Maan ja ulkoilman vuotuisen lämpötilan ero (per maalaji &amp; alapohjan U-arvo)</t>
  </si>
  <si>
    <t>Lämpimän käyttöveden varaajahäviöt</t>
  </si>
  <si>
    <t>Lämpimän käyttöveden kehityshäviöt</t>
  </si>
  <si>
    <t>Lämpimän käyttöveden kiertohäviöt (kiertojohto yes/no)</t>
  </si>
  <si>
    <t>kWh/a</t>
  </si>
  <si>
    <t>kWh/brm²a</t>
  </si>
  <si>
    <t>Lämmityksen kehityshäviöt</t>
  </si>
  <si>
    <t>Lämmityksen muut häviöt</t>
  </si>
  <si>
    <t>Lämmityksen varaajahäviöt</t>
  </si>
  <si>
    <t>1  Sähkön hinta: Sijaintipaikan sähköntoimittajalta; lisää sähkövero (0.0107726 EUR/kWh syksyllä 2008 ). Tämän ohjelman esimerkki on laskettu aikasähkölle näytetyssä kulutussuhteessa. Kun sähkön hinnalle on useita erilaisia perusteita (yleissähkö, aika/yösähkö, kausisähkö; molemmat sekä energialle että siirrolle, plus erilaiset paketit), niinpä tässä ohjelmassa on mahdollista käyttää mitä tahansa perustetta (siniset solut laskentataulukoissa). Jotkut energiayhtiöt tarjoavat laskurin sähkön ostoenergian kustannusten laskemiseen.</t>
  </si>
  <si>
    <t>2  Kaukolämmön hinta: Sijaintipaikan kaukolämmön toimittajalta. Jotkut energiayhtiöt tarjoavat laskurin kaukolämmön ostoenergian kustannusten laskemiseen.</t>
  </si>
  <si>
    <t>Ohjelma sisältää seuraavat osiot (lehdet/sheets):</t>
  </si>
  <si>
    <t>Ohjelman taulukoissa esitetään viitteet ao rakentamismääräyksiin sekä eräitä lähtö- ja ohjearvoja. Katso kommentit. Lämpöä, vettä, ilmanvaihtoa ja sähköä koskevat kohdat varmistetaan LVIS-suunnittelijoiden toimesta.</t>
  </si>
  <si>
    <r>
      <t xml:space="preserve">Sähkön hinta </t>
    </r>
    <r>
      <rPr>
        <sz val="9"/>
        <rFont val="Arial"/>
        <family val="2"/>
      </rPr>
      <t>(yleis; aika/yö; kausi tms)</t>
    </r>
  </si>
  <si>
    <t>päivä</t>
  </si>
  <si>
    <t>yö</t>
  </si>
  <si>
    <t xml:space="preserve">             Kulutus</t>
  </si>
  <si>
    <t xml:space="preserve">               Siirto</t>
  </si>
  <si>
    <t>Lämmöntuottolaitteen vuosihyötysuhde: Sähkö</t>
  </si>
  <si>
    <t>Lämmöntuottolaitteen vuosihyötysuhde: Kaukolämpö</t>
  </si>
  <si>
    <t>Ilmatilav.</t>
  </si>
  <si>
    <r>
      <t xml:space="preserve">Jos kuitenkin haluat laskea tarkemmin kohteesi ostoenergian kustannukset, niin toimi seuraavasti: Lehden </t>
    </r>
    <r>
      <rPr>
        <i/>
        <sz val="10"/>
        <rFont val="Arial"/>
        <family val="2"/>
      </rPr>
      <t>Tasaus- ja energialaskenta</t>
    </r>
    <r>
      <rPr>
        <sz val="10"/>
        <rFont val="Arial"/>
        <family val="0"/>
      </rPr>
      <t xml:space="preserve"> sivulla 5 oleviin laskentataulukoihin hanki sijaintipaikkaa vastaavat ajan tasalla olevat hintatiedot. Huomaa myös seuraavassa sanottu: </t>
    </r>
  </si>
  <si>
    <r>
      <t>4</t>
    </r>
    <r>
      <rPr>
        <sz val="10"/>
        <rFont val="Arial"/>
        <family val="0"/>
      </rPr>
      <t xml:space="preserve">  Energiatodistus: Lehden </t>
    </r>
    <r>
      <rPr>
        <b/>
        <sz val="10"/>
        <rFont val="Arial"/>
        <family val="0"/>
      </rPr>
      <t>Energiatodistus</t>
    </r>
    <r>
      <rPr>
        <sz val="10"/>
        <rFont val="Arial"/>
        <family val="0"/>
      </rPr>
      <t xml:space="preserve"> 2 ensimmäistä A4-sivua (page 1&amp;2).</t>
    </r>
  </si>
  <si>
    <t>Kylmäntuottolaitteen vuotuinen kylmäkerroin</t>
  </si>
  <si>
    <t>kylmä, kaukokylmä, kylmäpumppu. Tässä kohteessa on kalliolämpöpumppu, jota voidaan kesäaikana käyttää</t>
  </si>
  <si>
    <r>
      <t xml:space="preserve">aikana tarvitaan jäähdytystä. </t>
    </r>
    <r>
      <rPr>
        <b/>
        <sz val="9"/>
        <rFont val="Arial"/>
        <family val="2"/>
      </rPr>
      <t xml:space="preserve">Jäähdyttämiseen turhaan kuluvan energian vähentämiseksi joudutaan nykyisiä </t>
    </r>
  </si>
  <si>
    <t>3  Lämpöpumpun kustannus: Lämpöpumppu toimii sähköllä, ja sen aiheuttama kustannus riippuu sijaintipaikan sähkön hinnasta mutta varsinkin järjestelmän vuosihyötysuhteesta, joka voi olla jopa yli 4 (eli järjestelmä tuottaa neljä kertaa enemmän lämpöenergiaa kuin käyttää sähköenergiaa).</t>
  </si>
  <si>
    <r>
      <t xml:space="preserve">Tämä ohjelma tuottaa kohteen energiakustannustiedot myös ET-todistuksen mukaiselle sijainnille, eli Jyväskylälle. Tämä havainnollistaa ostoenergiakustannusten eroja Jyväskylän ja varsinaisen sijaintipaikan välillä. Lehden </t>
    </r>
    <r>
      <rPr>
        <i/>
        <sz val="10"/>
        <rFont val="Arial"/>
        <family val="2"/>
      </rPr>
      <t>ET-luvun laskenta</t>
    </r>
    <r>
      <rPr>
        <sz val="10"/>
        <rFont val="Arial"/>
        <family val="0"/>
      </rPr>
      <t xml:space="preserve"> sivulla 7 olevat tiedot ovat Jyväskylän hintoja syksyllä 2008. Näitä oletusarvoja ei ole tarpeellista muuttaa, koska ne eivät vaikuta ET-lukuun, ja koska muutoinkin vain sijaintipaikan hintatiedoilla on merkitystä (haluttaessa myös Jyväskylän hintatietoja kuitenkin voi päivittää). </t>
    </r>
  </si>
  <si>
    <t xml:space="preserve">New in version 2.0.3: </t>
  </si>
  <si>
    <t>NOTE: Kun tarkkaa laskentaa varten tämä ohjelma sisältää kohtia, joissa voit muuttaa laskennan eri tekijöitä (siniset solut), niin on tarkoituksenmukaista, että säilytät tämän originaaliohjelman koneellasi sellaisenaan muuttamatta, ja tallennat jokaisen uuden projektikohtaisen tuloksen eri nimellä.</t>
  </si>
  <si>
    <r>
      <t>1</t>
    </r>
    <r>
      <rPr>
        <sz val="10"/>
        <rFont val="Arial"/>
        <family val="0"/>
      </rPr>
      <t xml:space="preserve">  Rakennuksen laajuus ja muut perustiedot: Lehden </t>
    </r>
    <r>
      <rPr>
        <b/>
        <sz val="10"/>
        <rFont val="Arial"/>
        <family val="0"/>
      </rPr>
      <t>ET-luvun laskenta</t>
    </r>
    <r>
      <rPr>
        <sz val="10"/>
        <rFont val="Arial"/>
        <family val="0"/>
      </rPr>
      <t xml:space="preserve"> ensimmäinen A4-sivu (page 1).</t>
    </r>
  </si>
  <si>
    <r>
      <t>2</t>
    </r>
    <r>
      <rPr>
        <sz val="10"/>
        <rFont val="Arial"/>
        <family val="0"/>
      </rPr>
      <t xml:space="preserve">  Lämpöhäviöiden tasauslaskelma: Lehden </t>
    </r>
    <r>
      <rPr>
        <b/>
        <sz val="10"/>
        <rFont val="Arial"/>
        <family val="2"/>
      </rPr>
      <t>Tasaus- ja energialaskenta</t>
    </r>
    <r>
      <rPr>
        <sz val="10"/>
        <rFont val="Arial"/>
        <family val="0"/>
      </rPr>
      <t xml:space="preserve"> ensimmäinen A4-sivu (page 1).</t>
    </r>
  </si>
  <si>
    <r>
      <t>3</t>
    </r>
    <r>
      <rPr>
        <sz val="10"/>
        <rFont val="Arial"/>
        <family val="0"/>
      </rPr>
      <t xml:space="preserve">  Määräystenmukaisuuden tarkistuslista: Lehti </t>
    </r>
    <r>
      <rPr>
        <b/>
        <sz val="10"/>
        <rFont val="Arial"/>
        <family val="0"/>
      </rPr>
      <t xml:space="preserve">Määräystenmukaisuus </t>
    </r>
    <r>
      <rPr>
        <sz val="10"/>
        <rFont val="Arial"/>
        <family val="2"/>
      </rPr>
      <t>(on 1 A4-sivu)</t>
    </r>
    <r>
      <rPr>
        <sz val="10"/>
        <rFont val="Arial"/>
        <family val="0"/>
      </rPr>
      <t>.</t>
    </r>
  </si>
  <si>
    <r>
      <t>5</t>
    </r>
    <r>
      <rPr>
        <sz val="10"/>
        <rFont val="Arial"/>
        <family val="0"/>
      </rPr>
      <t xml:space="preserve">    Helpon </t>
    </r>
    <r>
      <rPr>
        <b/>
        <sz val="10"/>
        <rFont val="Arial"/>
        <family val="0"/>
      </rPr>
      <t>lämmitystapojen vertailun</t>
    </r>
    <r>
      <rPr>
        <sz val="10"/>
        <rFont val="Arial"/>
        <family val="0"/>
      </rPr>
      <t>: sähkö, kaukolämpö ja lämpöpumppu.</t>
    </r>
  </si>
  <si>
    <r>
      <t>FutureConstruct</t>
    </r>
    <r>
      <rPr>
        <b/>
        <vertAlign val="superscript"/>
        <sz val="10"/>
        <rFont val="Arial"/>
        <family val="0"/>
      </rPr>
      <t>®</t>
    </r>
    <r>
      <rPr>
        <b/>
        <sz val="10"/>
        <rFont val="Arial"/>
        <family val="0"/>
      </rPr>
      <t xml:space="preserve"> Energia 2.0</t>
    </r>
  </si>
  <si>
    <r>
      <t xml:space="preserve">1    Energiatodistus </t>
    </r>
    <r>
      <rPr>
        <sz val="10"/>
        <rFont val="Arial"/>
        <family val="0"/>
      </rPr>
      <t>(aina säävyöhyke III Jyväskylä)</t>
    </r>
  </si>
  <si>
    <r>
      <t>2    Tasauslaskelma</t>
    </r>
    <r>
      <rPr>
        <sz val="10"/>
        <rFont val="Arial"/>
        <family val="0"/>
      </rPr>
      <t xml:space="preserve"> (sijaintipaikan säävyöhyke)</t>
    </r>
  </si>
  <si>
    <r>
      <t>3    Määräystenmukaisuuden tarkistuslista</t>
    </r>
    <r>
      <rPr>
        <sz val="10"/>
        <rFont val="Arial"/>
        <family val="0"/>
      </rPr>
      <t xml:space="preserve"> (sijaintipaikan säävyöhyke)</t>
    </r>
  </si>
  <si>
    <r>
      <t>4    Energiaselvitys</t>
    </r>
    <r>
      <rPr>
        <sz val="10"/>
        <rFont val="Arial"/>
        <family val="0"/>
      </rPr>
      <t xml:space="preserve"> (kokonaisuudessaan)</t>
    </r>
  </si>
  <si>
    <r>
      <t xml:space="preserve">Vesikiertoinen lattialämmitys 32/28 </t>
    </r>
    <r>
      <rPr>
        <i/>
        <vertAlign val="superscript"/>
        <sz val="9"/>
        <rFont val="Arial"/>
        <family val="2"/>
      </rPr>
      <t>o</t>
    </r>
    <r>
      <rPr>
        <i/>
        <sz val="9"/>
        <rFont val="Arial"/>
        <family val="0"/>
      </rPr>
      <t>C, tuloilmassa vesikiertoinen jälkilämmityskennosto.</t>
    </r>
  </si>
  <si>
    <t xml:space="preserve">New in version 2.0.4: </t>
  </si>
  <si>
    <r>
      <t xml:space="preserve">Matalaenergiatalo tarvitsee jäähdytystä kesäaikana. Passiivikeinojen lisäksi tässä talossa jäähdytys järjestetään energiatehokkaalla maakylmäpumpulla. Maakylmäpumppu  tarkoittaa sitä, että pumpun kiertoliuos kulkee ilmanvaihtojärjestelmän yhteyteen asennetun jäähdytyskennoston kautta, jolloin ilmanvaihdon tuloilma jäähtyy jopa 10 </t>
    </r>
    <r>
      <rPr>
        <i/>
        <vertAlign val="superscript"/>
        <sz val="9"/>
        <rFont val="Arial"/>
        <family val="2"/>
      </rPr>
      <t>o</t>
    </r>
    <r>
      <rPr>
        <i/>
        <sz val="9"/>
        <rFont val="Arial"/>
        <family val="0"/>
      </rPr>
      <t>C.</t>
    </r>
  </si>
  <si>
    <t>A</t>
  </si>
  <si>
    <t>Varsinkin jos kyseessä ei ole uudisrakentaminen, lähtötietojen hankkiminen on työlästä. Tästä syystä lähtö-tietojen yhteyteen on lisätty selittäviä kommenttitekstejä; merkitty punaisella kolmiolla solun oik. ylänurkassa. Kommentteja esiintyy muuallakin, mutta määräysten sisältöä, ohjearvoja etc ei kuitenkaan tässä toisteta.</t>
  </si>
  <si>
    <t xml:space="preserve">     ET-luvun laskenta; tähän lähtötiedot</t>
  </si>
  <si>
    <t xml:space="preserve">     Tasaus- ja energialaskenta; tähän sijaintipaikan lisätiedot</t>
  </si>
  <si>
    <t>Sanotun lisäksi ohjelma tuottaa:</t>
  </si>
  <si>
    <t>Lämpimät tilat</t>
  </si>
  <si>
    <t>Ikkunat</t>
  </si>
  <si>
    <t>Ulko-ovet</t>
  </si>
  <si>
    <t>Vertailu-</t>
  </si>
  <si>
    <t>Suunnittelu-</t>
  </si>
  <si>
    <t xml:space="preserve">         Pinta-alat </t>
  </si>
  <si>
    <r>
      <t xml:space="preserve">    </t>
    </r>
    <r>
      <rPr>
        <b/>
        <sz val="9"/>
        <rFont val="Arial"/>
        <family val="2"/>
      </rPr>
      <t>[H</t>
    </r>
    <r>
      <rPr>
        <sz val="6"/>
        <rFont val="Arial"/>
        <family val="2"/>
      </rPr>
      <t>johtu</t>
    </r>
    <r>
      <rPr>
        <sz val="9"/>
        <rFont val="Arial"/>
        <family val="0"/>
      </rPr>
      <t xml:space="preserve"> = </t>
    </r>
    <r>
      <rPr>
        <b/>
        <sz val="9"/>
        <rFont val="Arial"/>
        <family val="0"/>
      </rPr>
      <t>A*U]</t>
    </r>
    <r>
      <rPr>
        <sz val="9"/>
        <rFont val="Arial"/>
        <family val="0"/>
      </rPr>
      <t xml:space="preserve"> (W/K)</t>
    </r>
  </si>
  <si>
    <t>ratkaisu</t>
  </si>
  <si>
    <t>Erotus</t>
  </si>
  <si>
    <t>(%)</t>
  </si>
  <si>
    <t xml:space="preserve">Yläpohja </t>
  </si>
  <si>
    <t>Yläpohja</t>
  </si>
  <si>
    <t xml:space="preserve">      Vuotoilmavirta</t>
  </si>
  <si>
    <t>Lämmin ilmatilavuus V =</t>
  </si>
  <si>
    <t xml:space="preserve">                (W/K)</t>
  </si>
  <si>
    <t>ILMANVAIHTO</t>
  </si>
  <si>
    <t xml:space="preserve">       Poistoilmavirta</t>
  </si>
  <si>
    <r>
      <t xml:space="preserve">           [n</t>
    </r>
    <r>
      <rPr>
        <sz val="6"/>
        <rFont val="Arial"/>
        <family val="2"/>
      </rPr>
      <t>50</t>
    </r>
    <r>
      <rPr>
        <b/>
        <sz val="9"/>
        <rFont val="Arial"/>
        <family val="0"/>
      </rPr>
      <t>]</t>
    </r>
    <r>
      <rPr>
        <sz val="9"/>
        <rFont val="Arial"/>
        <family val="0"/>
      </rPr>
      <t xml:space="preserve"> (1/h)</t>
    </r>
  </si>
  <si>
    <r>
      <t xml:space="preserve">   [n</t>
    </r>
    <r>
      <rPr>
        <sz val="6"/>
        <rFont val="Arial"/>
        <family val="2"/>
      </rPr>
      <t>vuoto</t>
    </r>
    <r>
      <rPr>
        <sz val="9"/>
        <rFont val="Arial"/>
        <family val="0"/>
      </rPr>
      <t xml:space="preserve"> = n</t>
    </r>
    <r>
      <rPr>
        <sz val="6"/>
        <rFont val="Arial"/>
        <family val="2"/>
      </rPr>
      <t>50</t>
    </r>
    <r>
      <rPr>
        <sz val="9"/>
        <rFont val="Arial"/>
        <family val="0"/>
      </rPr>
      <t>/25</t>
    </r>
    <r>
      <rPr>
        <b/>
        <sz val="9"/>
        <rFont val="Arial"/>
        <family val="0"/>
      </rPr>
      <t>]</t>
    </r>
    <r>
      <rPr>
        <sz val="9"/>
        <rFont val="Arial"/>
        <family val="0"/>
      </rPr>
      <t xml:space="preserve"> (1/h)</t>
    </r>
  </si>
  <si>
    <t xml:space="preserve">          Ilmanvuoto</t>
  </si>
  <si>
    <r>
      <t xml:space="preserve">  [H</t>
    </r>
    <r>
      <rPr>
        <sz val="6"/>
        <rFont val="Arial"/>
        <family val="2"/>
      </rPr>
      <t>vuoto</t>
    </r>
    <r>
      <rPr>
        <sz val="9"/>
        <rFont val="Arial"/>
        <family val="0"/>
      </rPr>
      <t xml:space="preserve"> = 1.200*q</t>
    </r>
    <r>
      <rPr>
        <sz val="6"/>
        <rFont val="Arial"/>
        <family val="2"/>
      </rPr>
      <t>vuoto</t>
    </r>
    <r>
      <rPr>
        <b/>
        <sz val="9"/>
        <rFont val="Arial"/>
        <family val="0"/>
      </rPr>
      <t>]</t>
    </r>
  </si>
  <si>
    <t xml:space="preserve">                 (l/s)</t>
  </si>
  <si>
    <r>
      <t xml:space="preserve">    [q</t>
    </r>
    <r>
      <rPr>
        <sz val="6"/>
        <rFont val="Arial"/>
        <family val="2"/>
      </rPr>
      <t>v</t>
    </r>
    <r>
      <rPr>
        <sz val="9"/>
        <rFont val="Arial"/>
        <family val="0"/>
      </rPr>
      <t xml:space="preserve"> = n</t>
    </r>
    <r>
      <rPr>
        <sz val="6"/>
        <rFont val="Arial"/>
        <family val="2"/>
      </rPr>
      <t>vuoto</t>
    </r>
    <r>
      <rPr>
        <sz val="9"/>
        <rFont val="Arial"/>
        <family val="0"/>
      </rPr>
      <t>*V/3.600</t>
    </r>
    <r>
      <rPr>
        <b/>
        <sz val="9"/>
        <rFont val="Arial"/>
        <family val="0"/>
      </rPr>
      <t xml:space="preserve">] </t>
    </r>
  </si>
  <si>
    <r>
      <t xml:space="preserve">     [q</t>
    </r>
    <r>
      <rPr>
        <sz val="6"/>
        <rFont val="Arial"/>
        <family val="2"/>
      </rPr>
      <t>poisto</t>
    </r>
    <r>
      <rPr>
        <sz val="9"/>
        <rFont val="Arial"/>
        <family val="2"/>
      </rPr>
      <t xml:space="preserve"> = V/2/3.600</t>
    </r>
    <r>
      <rPr>
        <b/>
        <sz val="9"/>
        <rFont val="Arial"/>
        <family val="2"/>
      </rPr>
      <t>]</t>
    </r>
  </si>
  <si>
    <r>
      <t xml:space="preserve">             [n</t>
    </r>
    <r>
      <rPr>
        <sz val="6"/>
        <rFont val="Arial"/>
        <family val="2"/>
      </rPr>
      <t>poisto</t>
    </r>
    <r>
      <rPr>
        <b/>
        <sz val="9"/>
        <rFont val="Arial"/>
        <family val="2"/>
      </rPr>
      <t>]</t>
    </r>
  </si>
  <si>
    <r>
      <t xml:space="preserve">   [H</t>
    </r>
    <r>
      <rPr>
        <sz val="6"/>
        <rFont val="Arial"/>
        <family val="2"/>
      </rPr>
      <t>poisto</t>
    </r>
    <r>
      <rPr>
        <sz val="9"/>
        <rFont val="Arial"/>
        <family val="2"/>
      </rPr>
      <t xml:space="preserve"> = 1.200*q</t>
    </r>
    <r>
      <rPr>
        <sz val="6"/>
        <rFont val="Arial"/>
        <family val="2"/>
      </rPr>
      <t>poisto</t>
    </r>
  </si>
  <si>
    <r>
      <t xml:space="preserve">     *(1-n</t>
    </r>
    <r>
      <rPr>
        <sz val="6"/>
        <rFont val="Arial"/>
        <family val="2"/>
      </rPr>
      <t>poisto</t>
    </r>
    <r>
      <rPr>
        <sz val="9"/>
        <rFont val="Arial"/>
        <family val="0"/>
      </rPr>
      <t>)</t>
    </r>
    <r>
      <rPr>
        <b/>
        <sz val="9"/>
        <rFont val="Arial"/>
        <family val="2"/>
      </rPr>
      <t xml:space="preserve">] </t>
    </r>
    <r>
      <rPr>
        <sz val="9"/>
        <rFont val="Arial"/>
        <family val="0"/>
      </rPr>
      <t>(W/K)</t>
    </r>
  </si>
  <si>
    <t xml:space="preserve">             (%/100)</t>
  </si>
  <si>
    <t>LTO vuosihyötysuhde</t>
  </si>
  <si>
    <t>Kriteeri</t>
  </si>
  <si>
    <t>Arvo</t>
  </si>
  <si>
    <t xml:space="preserve">            U-arvot</t>
  </si>
  <si>
    <t>Calculation</t>
  </si>
  <si>
    <t xml:space="preserve">  Erotus</t>
  </si>
  <si>
    <r>
      <t xml:space="preserve">              [A] </t>
    </r>
    <r>
      <rPr>
        <sz val="9"/>
        <rFont val="Arial"/>
        <family val="2"/>
      </rPr>
      <t>(m</t>
    </r>
    <r>
      <rPr>
        <vertAlign val="superscript"/>
        <sz val="9"/>
        <rFont val="Arial"/>
        <family val="2"/>
      </rPr>
      <t>2</t>
    </r>
    <r>
      <rPr>
        <sz val="9"/>
        <rFont val="Arial"/>
        <family val="2"/>
      </rPr>
      <t>)</t>
    </r>
  </si>
  <si>
    <r>
      <t xml:space="preserve">         </t>
    </r>
    <r>
      <rPr>
        <b/>
        <sz val="9"/>
        <rFont val="Arial"/>
        <family val="2"/>
      </rPr>
      <t xml:space="preserve">[U] </t>
    </r>
    <r>
      <rPr>
        <sz val="9"/>
        <rFont val="Arial"/>
        <family val="0"/>
      </rPr>
      <t>(W/m</t>
    </r>
    <r>
      <rPr>
        <vertAlign val="superscript"/>
        <sz val="9"/>
        <rFont val="Arial"/>
        <family val="2"/>
      </rPr>
      <t>2</t>
    </r>
    <r>
      <rPr>
        <sz val="9"/>
        <rFont val="Arial"/>
        <family val="0"/>
      </rPr>
      <t>K)</t>
    </r>
  </si>
  <si>
    <r>
      <t>m</t>
    </r>
    <r>
      <rPr>
        <vertAlign val="superscript"/>
        <sz val="9"/>
        <rFont val="Arial"/>
        <family val="2"/>
      </rPr>
      <t>2</t>
    </r>
  </si>
  <si>
    <r>
      <t>m</t>
    </r>
    <r>
      <rPr>
        <vertAlign val="superscript"/>
        <sz val="9"/>
        <rFont val="Arial"/>
        <family val="2"/>
      </rPr>
      <t>3</t>
    </r>
  </si>
  <si>
    <t xml:space="preserve">   Sub-total 3</t>
  </si>
  <si>
    <t xml:space="preserve">   Sub-total 2</t>
  </si>
  <si>
    <t xml:space="preserve">   Sub-total 1</t>
  </si>
  <si>
    <t>(kWh/a)</t>
  </si>
  <si>
    <t>Total</t>
  </si>
  <si>
    <t>Tilojen lämmitysjärjestelmä</t>
  </si>
  <si>
    <r>
      <t>15 kWh/m</t>
    </r>
    <r>
      <rPr>
        <vertAlign val="superscript"/>
        <sz val="9"/>
        <rFont val="Arial"/>
        <family val="0"/>
      </rPr>
      <t>2</t>
    </r>
    <r>
      <rPr>
        <sz val="9"/>
        <rFont val="Arial"/>
        <family val="0"/>
      </rPr>
      <t>a</t>
    </r>
  </si>
  <si>
    <r>
      <t>Käyttöveden lämmitys</t>
    </r>
    <r>
      <rPr>
        <sz val="9"/>
        <rFont val="Arial"/>
        <family val="2"/>
      </rPr>
      <t xml:space="preserve"> </t>
    </r>
  </si>
  <si>
    <r>
      <t>Lämpöhäviöenergiat</t>
    </r>
    <r>
      <rPr>
        <sz val="9"/>
        <rFont val="Arial"/>
        <family val="2"/>
      </rPr>
      <t xml:space="preserve"> (kWh/a)</t>
    </r>
  </si>
  <si>
    <r>
      <t>Sähkönkulutus</t>
    </r>
    <r>
      <rPr>
        <sz val="9"/>
        <rFont val="Arial"/>
        <family val="2"/>
      </rPr>
      <t xml:space="preserve"> (kWh/a)</t>
    </r>
  </si>
  <si>
    <r>
      <t>50 kWh/m</t>
    </r>
    <r>
      <rPr>
        <vertAlign val="superscript"/>
        <sz val="9"/>
        <rFont val="Arial"/>
        <family val="0"/>
      </rPr>
      <t>2</t>
    </r>
    <r>
      <rPr>
        <sz val="9"/>
        <rFont val="Arial"/>
        <family val="0"/>
      </rPr>
      <t>a</t>
    </r>
  </si>
  <si>
    <t>Henkilöt</t>
  </si>
  <si>
    <t>Valaistus ja sähkölaitteet</t>
  </si>
  <si>
    <r>
      <t>Lämpökuormat</t>
    </r>
    <r>
      <rPr>
        <sz val="9"/>
        <color indexed="10"/>
        <rFont val="Arial"/>
        <family val="0"/>
      </rPr>
      <t xml:space="preserve"> (kWh/a)</t>
    </r>
  </si>
  <si>
    <r>
      <t>32 kWh/m</t>
    </r>
    <r>
      <rPr>
        <vertAlign val="superscript"/>
        <sz val="9"/>
        <color indexed="10"/>
        <rFont val="Arial"/>
        <family val="0"/>
      </rPr>
      <t>2</t>
    </r>
    <r>
      <rPr>
        <sz val="9"/>
        <color indexed="10"/>
        <rFont val="Arial"/>
        <family val="0"/>
      </rPr>
      <t>a</t>
    </r>
  </si>
  <si>
    <t>Sub-sum</t>
  </si>
  <si>
    <t>Ref D5</t>
  </si>
  <si>
    <t>(7.1)</t>
  </si>
  <si>
    <t>(5.1)</t>
  </si>
  <si>
    <t>(6.1)</t>
  </si>
  <si>
    <t>Jan</t>
  </si>
  <si>
    <t>Feb</t>
  </si>
  <si>
    <t>Mar</t>
  </si>
  <si>
    <t>Apr</t>
  </si>
  <si>
    <t>May</t>
  </si>
  <si>
    <t>Jun</t>
  </si>
  <si>
    <t>Jul</t>
  </si>
  <si>
    <t>Aug</t>
  </si>
  <si>
    <t>Sep</t>
  </si>
  <si>
    <t>Oct</t>
  </si>
  <si>
    <t>Nov</t>
  </si>
  <si>
    <t>Dec</t>
  </si>
  <si>
    <t>KK Keski-</t>
  </si>
  <si>
    <t>lämpötila</t>
  </si>
  <si>
    <r>
      <t>T</t>
    </r>
    <r>
      <rPr>
        <vertAlign val="subscript"/>
        <sz val="9"/>
        <rFont val="Arial"/>
        <family val="2"/>
      </rPr>
      <t>u</t>
    </r>
    <r>
      <rPr>
        <sz val="9"/>
        <rFont val="Arial"/>
        <family val="2"/>
      </rPr>
      <t xml:space="preserve"> (</t>
    </r>
    <r>
      <rPr>
        <vertAlign val="superscript"/>
        <sz val="9"/>
        <rFont val="Arial"/>
        <family val="2"/>
      </rPr>
      <t>o</t>
    </r>
    <r>
      <rPr>
        <sz val="9"/>
        <rFont val="Arial"/>
        <family val="2"/>
      </rPr>
      <t>C)</t>
    </r>
  </si>
  <si>
    <t xml:space="preserve">KK pituus </t>
  </si>
  <si>
    <t>(h)</t>
  </si>
  <si>
    <t>(kWh)</t>
  </si>
  <si>
    <t>Käyttöveden</t>
  </si>
  <si>
    <t>LE tarve</t>
  </si>
  <si>
    <t>Tilojen</t>
  </si>
  <si>
    <t>kulutus</t>
  </si>
  <si>
    <t>Lämpöt.ero</t>
  </si>
  <si>
    <t>Aurinko</t>
  </si>
  <si>
    <r>
      <t>Auringon säteilyenergia pystypinnoille (kWh/m</t>
    </r>
    <r>
      <rPr>
        <vertAlign val="superscript"/>
        <sz val="9"/>
        <color indexed="10"/>
        <rFont val="Arial"/>
        <family val="2"/>
      </rPr>
      <t>2</t>
    </r>
    <r>
      <rPr>
        <sz val="9"/>
        <color indexed="10"/>
        <rFont val="Arial"/>
        <family val="0"/>
      </rPr>
      <t>kk)</t>
    </r>
  </si>
  <si>
    <t>N</t>
  </si>
  <si>
    <t>S</t>
  </si>
  <si>
    <t>E</t>
  </si>
  <si>
    <t>W</t>
  </si>
  <si>
    <t>L1.4.</t>
  </si>
  <si>
    <t>L1.12.</t>
  </si>
  <si>
    <t>L.1.4</t>
  </si>
  <si>
    <t>0.3*lämmitys + 0.5*vastaava lämpöhäviö = (8.4)</t>
  </si>
  <si>
    <t>0.7*vastaava lämpöhäviöenergia = (8.3)</t>
  </si>
  <si>
    <t>Hyödynnet-</t>
  </si>
  <si>
    <t>tävä LK</t>
  </si>
  <si>
    <t>8.16.</t>
  </si>
  <si>
    <t>γ (..)</t>
  </si>
  <si>
    <t>τ (h)</t>
  </si>
  <si>
    <t>8.15.</t>
  </si>
  <si>
    <t>8.18.</t>
  </si>
  <si>
    <t>a (..)</t>
  </si>
  <si>
    <t>8.13.</t>
  </si>
  <si>
    <t>η (..)</t>
  </si>
  <si>
    <t>LE osto-</t>
  </si>
  <si>
    <t>(EUR)</t>
  </si>
  <si>
    <t>Sähkön kulutus</t>
  </si>
  <si>
    <t>Tilojen LE</t>
  </si>
  <si>
    <r>
      <t>(kWh/m</t>
    </r>
    <r>
      <rPr>
        <vertAlign val="superscript"/>
        <sz val="9"/>
        <rFont val="Arial"/>
        <family val="2"/>
      </rPr>
      <t>2</t>
    </r>
    <r>
      <rPr>
        <sz val="9"/>
        <rFont val="Arial"/>
        <family val="2"/>
      </rPr>
      <t>a)</t>
    </r>
  </si>
  <si>
    <r>
      <t>(kWh/m</t>
    </r>
    <r>
      <rPr>
        <vertAlign val="superscript"/>
        <sz val="9"/>
        <rFont val="Arial"/>
        <family val="2"/>
      </rPr>
      <t>3</t>
    </r>
    <r>
      <rPr>
        <sz val="9"/>
        <rFont val="Arial"/>
        <family val="2"/>
      </rPr>
      <t>a)</t>
    </r>
  </si>
  <si>
    <t>Ulkoseinä 1</t>
  </si>
  <si>
    <t>Ulkoseinä 2</t>
  </si>
  <si>
    <t>Rakennustilavuus</t>
  </si>
  <si>
    <r>
      <t>0.05 m</t>
    </r>
    <r>
      <rPr>
        <vertAlign val="superscript"/>
        <sz val="9"/>
        <rFont val="Arial"/>
        <family val="2"/>
      </rPr>
      <t>3</t>
    </r>
    <r>
      <rPr>
        <sz val="9"/>
        <rFont val="Arial"/>
        <family val="2"/>
      </rPr>
      <t>/hlöd</t>
    </r>
  </si>
  <si>
    <t>Huonekorkeus</t>
  </si>
  <si>
    <t>m</t>
  </si>
  <si>
    <t>Lähtö data ILMA</t>
  </si>
  <si>
    <t>L1.4. (4.4)</t>
  </si>
  <si>
    <t>(8.17)</t>
  </si>
  <si>
    <t>5.1</t>
  </si>
  <si>
    <t>7.1</t>
  </si>
  <si>
    <t>8.3</t>
  </si>
  <si>
    <t>8.4</t>
  </si>
  <si>
    <t>T8.3</t>
  </si>
  <si>
    <t>8.6</t>
  </si>
  <si>
    <t>8.11</t>
  </si>
  <si>
    <t>8.12</t>
  </si>
  <si>
    <t>3.9</t>
  </si>
  <si>
    <t>3.7</t>
  </si>
  <si>
    <r>
      <t>T</t>
    </r>
    <r>
      <rPr>
        <vertAlign val="subscript"/>
        <sz val="9"/>
        <rFont val="Arial"/>
        <family val="2"/>
      </rPr>
      <t>maa</t>
    </r>
    <r>
      <rPr>
        <sz val="9"/>
        <rFont val="Arial"/>
        <family val="2"/>
      </rPr>
      <t xml:space="preserve"> (</t>
    </r>
    <r>
      <rPr>
        <vertAlign val="superscript"/>
        <sz val="9"/>
        <rFont val="Arial"/>
        <family val="2"/>
      </rPr>
      <t>o</t>
    </r>
    <r>
      <rPr>
        <sz val="9"/>
        <rFont val="Arial"/>
        <family val="2"/>
      </rPr>
      <t>C)</t>
    </r>
  </si>
  <si>
    <r>
      <t>T</t>
    </r>
    <r>
      <rPr>
        <vertAlign val="subscript"/>
        <sz val="9"/>
        <rFont val="Arial"/>
        <family val="2"/>
      </rPr>
      <t>s</t>
    </r>
    <r>
      <rPr>
        <sz val="9"/>
        <rFont val="Arial"/>
        <family val="2"/>
      </rPr>
      <t>-T</t>
    </r>
    <r>
      <rPr>
        <vertAlign val="subscript"/>
        <sz val="9"/>
        <rFont val="Arial"/>
        <family val="2"/>
      </rPr>
      <t>u</t>
    </r>
    <r>
      <rPr>
        <sz val="9"/>
        <rFont val="Arial"/>
        <family val="2"/>
      </rPr>
      <t xml:space="preserve"> (</t>
    </r>
    <r>
      <rPr>
        <vertAlign val="superscript"/>
        <sz val="9"/>
        <rFont val="Arial"/>
        <family val="2"/>
      </rPr>
      <t>o</t>
    </r>
    <r>
      <rPr>
        <sz val="9"/>
        <rFont val="Arial"/>
        <family val="2"/>
      </rPr>
      <t>C)</t>
    </r>
  </si>
  <si>
    <r>
      <t>T</t>
    </r>
    <r>
      <rPr>
        <vertAlign val="subscript"/>
        <sz val="9"/>
        <rFont val="Arial"/>
        <family val="2"/>
      </rPr>
      <t>s</t>
    </r>
    <r>
      <rPr>
        <sz val="9"/>
        <rFont val="Arial"/>
        <family val="2"/>
      </rPr>
      <t>-T</t>
    </r>
    <r>
      <rPr>
        <vertAlign val="subscript"/>
        <sz val="9"/>
        <rFont val="Arial"/>
        <family val="2"/>
      </rPr>
      <t>maa</t>
    </r>
    <r>
      <rPr>
        <sz val="9"/>
        <rFont val="Arial"/>
        <family val="2"/>
      </rPr>
      <t xml:space="preserve"> (</t>
    </r>
    <r>
      <rPr>
        <vertAlign val="superscript"/>
        <sz val="9"/>
        <rFont val="Arial"/>
        <family val="2"/>
      </rPr>
      <t>o</t>
    </r>
    <r>
      <rPr>
        <sz val="9"/>
        <rFont val="Arial"/>
        <family val="2"/>
      </rPr>
      <t>C)</t>
    </r>
  </si>
  <si>
    <t xml:space="preserve">   Total</t>
  </si>
  <si>
    <t>Kaikki muu yhteensä</t>
  </si>
  <si>
    <t>VUOTOILMA</t>
  </si>
  <si>
    <t>Rakennusosat</t>
  </si>
  <si>
    <t>JOHTUMINEN</t>
  </si>
  <si>
    <t>Ostoenergian kulutus lämmitykseen</t>
  </si>
  <si>
    <t>6.2</t>
  </si>
  <si>
    <t>6.1</t>
  </si>
  <si>
    <t>järj.häviöt</t>
  </si>
  <si>
    <t>15*bruttoala =</t>
  </si>
  <si>
    <t>(K6.2)</t>
  </si>
  <si>
    <r>
      <t xml:space="preserve">Lämpökuormat </t>
    </r>
    <r>
      <rPr>
        <sz val="9"/>
        <color indexed="10"/>
        <rFont val="Arial"/>
        <family val="0"/>
      </rPr>
      <t>(LK)</t>
    </r>
  </si>
  <si>
    <t>Lämp. käyttöveden järjestelmä</t>
  </si>
  <si>
    <t>32*bruttoala =</t>
  </si>
  <si>
    <t xml:space="preserve">Lämpökuormien hyödyntäminen </t>
  </si>
  <si>
    <t>Total LE</t>
  </si>
  <si>
    <t>Valaistus &amp;</t>
  </si>
  <si>
    <t>sähkölaitt.</t>
  </si>
  <si>
    <t>järjest.</t>
  </si>
  <si>
    <t>LK Total</t>
  </si>
  <si>
    <t>Tilojen lämpöhäviöenergiat</t>
  </si>
  <si>
    <t>TILAT</t>
  </si>
  <si>
    <r>
      <t>Lisäksi, ohjelmaan sisältyvän esimerkkitalon Villa Superin lähtötiedot ovat tarkentuneet: mm tiiviydestä tingitty (nyt ilmanvuotoluku n</t>
    </r>
    <r>
      <rPr>
        <vertAlign val="subscript"/>
        <sz val="10"/>
        <rFont val="Arial"/>
        <family val="2"/>
      </rPr>
      <t>50</t>
    </r>
    <r>
      <rPr>
        <sz val="10"/>
        <rFont val="Arial"/>
        <family val="0"/>
      </rPr>
      <t>=1.5, kun tuleviin 2010 rakentamismääräyksiin ehdotettu 2.0) ja lämpimän käyttöveden kiertojohto lisätty; molemmat huonontavat ET-lukua. Talo on kuitenkin edelleen matalaenergiatalo, eli sen ominaislämpöhäviöt ovat enintään 60 % rakentamismääräysten 2007 vaatimasta.</t>
    </r>
  </si>
  <si>
    <t>Lämmitysjärjestelmän lämpöhäviöenergiat</t>
  </si>
  <si>
    <t>Hyödynnettävät lämpökuormat</t>
  </si>
  <si>
    <t>KÄYTTÖVESI</t>
  </si>
  <si>
    <t>Käyttöveden lämmitysenergia NET</t>
  </si>
  <si>
    <t>RAKENNUKSEN LÄMMITYSENERGIAN KULUTUS</t>
  </si>
  <si>
    <t>(EUR/kWh)</t>
  </si>
  <si>
    <t>Tilojen LE kulutus</t>
  </si>
  <si>
    <t>Bruttoala</t>
  </si>
  <si>
    <t>Rak.tilav.</t>
  </si>
  <si>
    <t>Käyttöveden LE kulutus</t>
  </si>
  <si>
    <t>Rakennuksen LE kulutus</t>
  </si>
  <si>
    <t>Kokonaiskulutus</t>
  </si>
  <si>
    <r>
      <t>(kWh/brm</t>
    </r>
    <r>
      <rPr>
        <vertAlign val="superscript"/>
        <sz val="9"/>
        <rFont val="Arial"/>
        <family val="2"/>
      </rPr>
      <t>2</t>
    </r>
    <r>
      <rPr>
        <sz val="9"/>
        <rFont val="Arial"/>
        <family val="2"/>
      </rPr>
      <t>)</t>
    </r>
  </si>
  <si>
    <t>Ikkunat N</t>
  </si>
  <si>
    <t>Ikkunat S</t>
  </si>
  <si>
    <t>Ikkunat E</t>
  </si>
  <si>
    <t>Ikkunat W</t>
  </si>
  <si>
    <t>Osto</t>
  </si>
  <si>
    <t>Perus</t>
  </si>
  <si>
    <t>Kulutus</t>
  </si>
  <si>
    <t>Siirto</t>
  </si>
  <si>
    <t>EUR/kWh</t>
  </si>
  <si>
    <t>Sähkö</t>
  </si>
  <si>
    <t>1   KL</t>
  </si>
  <si>
    <t>Lämmitys-</t>
  </si>
  <si>
    <t>tapa</t>
  </si>
  <si>
    <t>15.12.2008</t>
  </si>
  <si>
    <t>15.12.2018</t>
  </si>
  <si>
    <t>Lämmöntuottolaitteen vuosihyötysuhde: Lämpöpumppu (tai öljy, puu etc)</t>
  </si>
  <si>
    <t>1   SÄ</t>
  </si>
  <si>
    <t>2   KL</t>
  </si>
  <si>
    <t>3   LP</t>
  </si>
  <si>
    <t>Kulutustietoja as per valittu lämmitystapa 3 (maalämpöpumppu) per...</t>
  </si>
  <si>
    <t>1  SÄ</t>
  </si>
  <si>
    <t>2  KL</t>
  </si>
  <si>
    <t>3  LP</t>
  </si>
  <si>
    <r>
      <t>3   Lämpöpumppu</t>
    </r>
    <r>
      <rPr>
        <sz val="9"/>
        <rFont val="Arial"/>
        <family val="2"/>
      </rPr>
      <t>: vuosihyötysuhde</t>
    </r>
  </si>
  <si>
    <t>Ohjelma tuottaa automaattisesti tiedot energiankulutuksesta sekä ostoenergiankulutuksesta (kWh/kk ja kWh/a) kolmella erilaisella lämmöntuottotavalla: sähkö, kaukolämpö ja lämpöpumppu (ja haluttaessa muutkin kuten öljy, puu etc). Samoin se laskee ostoenergian vuosikustannukset (EUR/a) sekä vielä ostoenergian kuukausimaksun per huoneistoala (EUR/m2) sanotuilla kolmella lämmitystavalla. Esimerkkitalon Villa Superi automaattinen kustannuslaskenta käyttää sähkön ja kaukolämmön oletushintoja as per syksy 2008 (Jyväskylän Energia ja Fortum Espoo). Eri lämmitystapojen vertailu onnistuu näin helposti.</t>
  </si>
  <si>
    <t>EUR/kk/a</t>
  </si>
  <si>
    <t>Ostoenergian kulutus tilojen lämmitykseen</t>
  </si>
  <si>
    <t>0.05*hlö*58.33*365 =</t>
  </si>
  <si>
    <r>
      <t>Kuukausilasku</t>
    </r>
    <r>
      <rPr>
        <sz val="9"/>
        <rFont val="Arial"/>
        <family val="2"/>
      </rPr>
      <t xml:space="preserve"> (EUR)</t>
    </r>
  </si>
  <si>
    <t>Ikkunat total</t>
  </si>
  <si>
    <t>Tilat: Lämmönkehitys</t>
  </si>
  <si>
    <t>Lämmin käyttövesi: Kehitys</t>
  </si>
  <si>
    <t>(6.2)</t>
  </si>
  <si>
    <t>Ei ole</t>
  </si>
  <si>
    <t>1*bruttoala; jaettu tilat</t>
  </si>
  <si>
    <t>ostotarve fin</t>
  </si>
  <si>
    <t>Vertailu</t>
  </si>
  <si>
    <t>Suunn. -</t>
  </si>
  <si>
    <r>
      <t>o</t>
    </r>
    <r>
      <rPr>
        <sz val="9"/>
        <rFont val="Arial"/>
        <family val="2"/>
      </rPr>
      <t>C</t>
    </r>
  </si>
  <si>
    <t>KÄYTTÖOHJE</t>
  </si>
  <si>
    <t xml:space="preserve">Asetus rakennuksen energiatodistuksesta löytyy Internet-osoitteesta </t>
  </si>
  <si>
    <t xml:space="preserve">Rakentamismääräykset 2007 löytyvät Internet-osoitteesta </t>
  </si>
  <si>
    <t>Sisälämpötila</t>
  </si>
  <si>
    <t>Maanvastainen alapohja</t>
  </si>
  <si>
    <t>Kaukolämmön hinta</t>
  </si>
  <si>
    <t>Käyttöv. LE</t>
  </si>
  <si>
    <t>Per huoneistoala</t>
  </si>
  <si>
    <r>
      <t>8 kWh/m</t>
    </r>
    <r>
      <rPr>
        <vertAlign val="superscript"/>
        <sz val="9"/>
        <color indexed="10"/>
        <rFont val="Arial"/>
        <family val="2"/>
      </rPr>
      <t>2</t>
    </r>
    <r>
      <rPr>
        <sz val="9"/>
        <color indexed="10"/>
        <rFont val="Arial"/>
        <family val="0"/>
      </rPr>
      <t>a</t>
    </r>
  </si>
  <si>
    <t>8*bruttoala =</t>
  </si>
  <si>
    <t>(8.1)</t>
  </si>
  <si>
    <t>T8.1</t>
  </si>
  <si>
    <t>RAKENNUKSEN TALOUSSÄHKÖN KULUTUS</t>
  </si>
  <si>
    <t>Taloussähkön kulutus</t>
  </si>
  <si>
    <r>
      <t xml:space="preserve">KOK.KULUTUS (=&gt; </t>
    </r>
    <r>
      <rPr>
        <b/>
        <sz val="9"/>
        <color indexed="17"/>
        <rFont val="Arial"/>
        <family val="2"/>
      </rPr>
      <t>ostoenergian ET-luku</t>
    </r>
    <r>
      <rPr>
        <b/>
        <sz val="9"/>
        <rFont val="Arial"/>
        <family val="0"/>
      </rPr>
      <t>)</t>
    </r>
  </si>
  <si>
    <r>
      <t xml:space="preserve">Tilojen lämmitys </t>
    </r>
    <r>
      <rPr>
        <sz val="9"/>
        <rFont val="Arial"/>
        <family val="2"/>
      </rPr>
      <t>(kWh/a)</t>
    </r>
  </si>
  <si>
    <t xml:space="preserve">   Vuotoilma</t>
  </si>
  <si>
    <t xml:space="preserve">   Ilmanvaihto</t>
  </si>
  <si>
    <t xml:space="preserve">   Total as per D5</t>
  </si>
  <si>
    <t xml:space="preserve">   Järjestelmä muut</t>
  </si>
  <si>
    <t xml:space="preserve">   Kiertopiiri</t>
  </si>
  <si>
    <t xml:space="preserve">   Käyttöveden varaaja</t>
  </si>
  <si>
    <t>Ostoenergian kulutus käyttöveden lämmitt.</t>
  </si>
  <si>
    <t>Energiatodistusopas 2007 (01.04.2008) löytyy Internet-osoitteesta</t>
  </si>
  <si>
    <t>Tasauslaskentaopas 2007 (24.01.2008) löytyy Internet-osoitteesta</t>
  </si>
  <si>
    <t>Pientalon D5/2007 - Energialaskentaopas (17.04.2008) löytyy Internet-osoitteesta</t>
  </si>
  <si>
    <t xml:space="preserve">   Rakenteet</t>
  </si>
  <si>
    <t>kulutus FIN</t>
  </si>
  <si>
    <t>tarve FIN</t>
  </si>
  <si>
    <t>Tilojen lämmitysenergian kulutus FIN</t>
  </si>
  <si>
    <t>Käyttöveden lämmitysenergian kulutus FIN</t>
  </si>
  <si>
    <t>Tal.sähkön</t>
  </si>
  <si>
    <t>Laskennan suorittaja:</t>
  </si>
  <si>
    <t>Päivämäärä:</t>
  </si>
  <si>
    <t>Pääsuunnittelija:</t>
  </si>
  <si>
    <t>PERUSTIEDOT</t>
  </si>
  <si>
    <t>RAKENNUS</t>
  </si>
  <si>
    <t>Rakennustyyppi</t>
  </si>
  <si>
    <t>Osoite</t>
  </si>
  <si>
    <t>Rakennustunnus</t>
  </si>
  <si>
    <t>49-12-34-56</t>
  </si>
  <si>
    <t>Valmistumisvuosi</t>
  </si>
  <si>
    <t>2009</t>
  </si>
  <si>
    <t>1 KL</t>
  </si>
  <si>
    <t>Asuntojen lukumäärä</t>
  </si>
  <si>
    <t>1</t>
  </si>
  <si>
    <t>RAKENNUKSEN LAAJUUS</t>
  </si>
  <si>
    <r>
      <t>rak-m</t>
    </r>
    <r>
      <rPr>
        <vertAlign val="superscript"/>
        <sz val="9"/>
        <rFont val="Arial"/>
        <family val="2"/>
      </rPr>
      <t>3</t>
    </r>
  </si>
  <si>
    <t>Kerroskorkeus</t>
  </si>
  <si>
    <t>Ilmatilavuus, lämpimät tilat</t>
  </si>
  <si>
    <t>Julkisivupinta-ala</t>
  </si>
  <si>
    <t>Ikkunoiden pinta-ala</t>
  </si>
  <si>
    <t>RAKENNUSOSAT</t>
  </si>
  <si>
    <t>Ulkoseinät</t>
  </si>
  <si>
    <t xml:space="preserve">   Ulkoseinä 1: Siporex 500mm</t>
  </si>
  <si>
    <t xml:space="preserve">   Harjakatto, Siporex 250mm + puhallusvilla 400mm</t>
  </si>
  <si>
    <t>Alapohja</t>
  </si>
  <si>
    <t xml:space="preserve">   Alapohja 1: ryömintätilaan; Siporex 250mm + PUR 120mm +</t>
  </si>
  <si>
    <t xml:space="preserve">   pintalaatta 80mm + pinnoite 20mm</t>
  </si>
  <si>
    <t>MUUT D5-LASKENNAN LÄHTÖTIEDOT</t>
  </si>
  <si>
    <t>Ikkunoiden auringon säteilyn läpäisy</t>
  </si>
  <si>
    <t>Ympäristön varjostuskulma</t>
  </si>
  <si>
    <t>Tehollinen lämpökapasiteetti</t>
  </si>
  <si>
    <t>MUUT TIEDOT</t>
  </si>
  <si>
    <t>Kerrosten lukumäärä</t>
  </si>
  <si>
    <t>2</t>
  </si>
  <si>
    <t>Huoneistoala</t>
  </si>
  <si>
    <t>Ulkoseinien pinta-ala</t>
  </si>
  <si>
    <t>Ulko-ovien pinta-ala</t>
  </si>
  <si>
    <t xml:space="preserve">   Puu-alumiinirunko, PUR-eriste</t>
  </si>
  <si>
    <r>
      <t>U-arvo</t>
    </r>
    <r>
      <rPr>
        <sz val="9"/>
        <rFont val="Arial"/>
        <family val="0"/>
      </rPr>
      <t xml:space="preserve"> (W/m</t>
    </r>
    <r>
      <rPr>
        <vertAlign val="superscript"/>
        <sz val="9"/>
        <rFont val="Arial"/>
        <family val="2"/>
      </rPr>
      <t>2</t>
    </r>
    <r>
      <rPr>
        <sz val="9"/>
        <rFont val="Arial"/>
        <family val="0"/>
      </rPr>
      <t>K)</t>
    </r>
  </si>
  <si>
    <r>
      <t>Pinta-ala</t>
    </r>
    <r>
      <rPr>
        <sz val="9"/>
        <rFont val="Arial"/>
        <family val="0"/>
      </rPr>
      <t xml:space="preserve"> (m</t>
    </r>
    <r>
      <rPr>
        <vertAlign val="superscript"/>
        <sz val="9"/>
        <rFont val="Arial"/>
        <family val="2"/>
      </rPr>
      <t>2</t>
    </r>
    <r>
      <rPr>
        <sz val="9"/>
        <rFont val="Arial"/>
        <family val="0"/>
      </rPr>
      <t>)</t>
    </r>
  </si>
  <si>
    <r>
      <t>brm</t>
    </r>
    <r>
      <rPr>
        <b/>
        <vertAlign val="superscript"/>
        <sz val="9"/>
        <rFont val="Arial"/>
        <family val="2"/>
      </rPr>
      <t>2</t>
    </r>
  </si>
  <si>
    <t>Wh/brm² K</t>
  </si>
  <si>
    <t>Alapohja 1</t>
  </si>
  <si>
    <t>Alapohja 2</t>
  </si>
  <si>
    <t xml:space="preserve">   pohjoiseen   N</t>
  </si>
  <si>
    <t xml:space="preserve">   itään            E</t>
  </si>
  <si>
    <t xml:space="preserve">   etelään        S</t>
  </si>
  <si>
    <t xml:space="preserve">   länteen       W</t>
  </si>
  <si>
    <t>Kattoikkunat</t>
  </si>
  <si>
    <t>Lämmitysenergian kulutus FIN</t>
  </si>
  <si>
    <t>Puolilämpimät tilat</t>
  </si>
  <si>
    <t xml:space="preserve">   Sub-total 1a</t>
  </si>
  <si>
    <t xml:space="preserve">   Sub-total 1b</t>
  </si>
  <si>
    <r>
      <t xml:space="preserve">ENERGIANKULUTUS </t>
    </r>
    <r>
      <rPr>
        <sz val="9"/>
        <rFont val="Arial"/>
        <family val="2"/>
      </rPr>
      <t>(as per D5 19 Jun 2007)</t>
    </r>
  </si>
  <si>
    <t>KOKONAISKULUTUS</t>
  </si>
  <si>
    <r>
      <t xml:space="preserve">Energian tarve &amp; kulutus </t>
    </r>
    <r>
      <rPr>
        <sz val="9"/>
        <rFont val="Arial"/>
        <family val="2"/>
      </rPr>
      <t>(= tarve + järjestelmien häviöt)</t>
    </r>
  </si>
  <si>
    <t>ENERGIATODISTUS</t>
  </si>
  <si>
    <t>Rakennus</t>
  </si>
  <si>
    <t>Energiatodistus perustuu laskennalliseen kulutukseen ja on annettu</t>
  </si>
  <si>
    <t>rakennuslupamenettelyn yhteydessä</t>
  </si>
  <si>
    <t>erillisen tarkastuksen yhteydessä</t>
  </si>
  <si>
    <t xml:space="preserve">Rakennuksen </t>
  </si>
  <si>
    <t>ET-luku</t>
  </si>
  <si>
    <t>Vähän kuluttava</t>
  </si>
  <si>
    <t>151-170</t>
  </si>
  <si>
    <t>171-190</t>
  </si>
  <si>
    <t>191-230</t>
  </si>
  <si>
    <t>231-270</t>
  </si>
  <si>
    <t>271-320</t>
  </si>
  <si>
    <t>Paljon kuluttava</t>
  </si>
  <si>
    <t>Energiatehokkuusluku perustuu rakennuksen laskennalliseen energiankulutukseen.</t>
  </si>
  <si>
    <t>Todistuksen antaja</t>
  </si>
  <si>
    <t>Todistuksen tilaaja</t>
  </si>
  <si>
    <t>Allekirjoitus</t>
  </si>
  <si>
    <t>Todistuksen antamispäivä:</t>
  </si>
  <si>
    <t>Viimeinen voimassaolopäivä</t>
  </si>
  <si>
    <t>ENERGIATODISTUKSEN LASKENNAN LÄHTÖTIEDOT</t>
  </si>
  <si>
    <t>Rakennuksen laajuustiedot</t>
  </si>
  <si>
    <t>Ilmatilavuus</t>
  </si>
  <si>
    <t xml:space="preserve">Henkilömäärä </t>
  </si>
  <si>
    <t>Rakenteet</t>
  </si>
  <si>
    <t>Pinta-ala</t>
  </si>
  <si>
    <t xml:space="preserve">U-arvo </t>
  </si>
  <si>
    <t>Ilmanvaihto</t>
  </si>
  <si>
    <r>
      <t>Rakennuksen ilmanvuotoluku n</t>
    </r>
    <r>
      <rPr>
        <vertAlign val="subscript"/>
        <sz val="10"/>
        <rFont val="Arial"/>
        <family val="2"/>
      </rPr>
      <t>50</t>
    </r>
    <r>
      <rPr>
        <sz val="10"/>
        <rFont val="Arial"/>
        <family val="2"/>
      </rPr>
      <t xml:space="preserve"> </t>
    </r>
  </si>
  <si>
    <t>1/h</t>
  </si>
  <si>
    <t>Ilmanvaihdon lämmöntalteenoton vuosihyötysuhde</t>
  </si>
  <si>
    <t>%</t>
  </si>
  <si>
    <t>Vedenkulutus</t>
  </si>
  <si>
    <t>Lämpimän käyttöveden kulutus</t>
  </si>
  <si>
    <t>Kyllä</t>
  </si>
  <si>
    <t>Ei</t>
  </si>
  <si>
    <t>Lämmitysjärjestelmät</t>
  </si>
  <si>
    <t>Lämmönkehitys</t>
  </si>
  <si>
    <t xml:space="preserve">Sisältää käyttöveden lämmityksen </t>
  </si>
  <si>
    <t>Lämmönjakotapa</t>
  </si>
  <si>
    <t>Lämmönvaraajat</t>
  </si>
  <si>
    <t>Lämpimän käyttöveden kiertojohto</t>
  </si>
  <si>
    <t>Kiertojohtoon on liitetty märkätilojen lämmityslaitteita</t>
  </si>
  <si>
    <t>Energiatehokkuusluvun laskenta</t>
  </si>
  <si>
    <t>Lämmitysenergian kulutus</t>
  </si>
  <si>
    <t>kWh/vuosi</t>
  </si>
  <si>
    <t>Laitesähköenergian kulutus</t>
  </si>
  <si>
    <t>Rakennuksen energiatehokkuusluku</t>
  </si>
  <si>
    <t>HUOMIOT JA TOIMENPIDE-EHDOTUKSET</t>
  </si>
  <si>
    <t>Toimenpide-ehdotus</t>
  </si>
  <si>
    <t>Arvioitu energiansäästö (kWh/vuosi)</t>
  </si>
  <si>
    <t>Lämpö</t>
  </si>
  <si>
    <t>Kylmä</t>
  </si>
  <si>
    <t>Ylä- ja alapohja</t>
  </si>
  <si>
    <t>Ilmanvaihto- ja ilmastointijärjestelmä</t>
  </si>
  <si>
    <t>Valaistus, sähköiset erillislämmitykset ja muut järjestelmät</t>
  </si>
  <si>
    <t>Arvioitu lämmitysenergian säästö</t>
  </si>
  <si>
    <t>Arvioitu sähköenergian säästö</t>
  </si>
  <si>
    <t>Arvoitu jäähdytysenergian (kylmäenergian) säästö</t>
  </si>
  <si>
    <t>Rakennuksen energiatehokkuusluku kaikkien toimenpiteiden jälkeen</t>
  </si>
  <si>
    <t>Energiatehokkuusluokka kaikkien toimenpiteiden jälkeen</t>
  </si>
  <si>
    <t>Lisämerkintöjä</t>
  </si>
  <si>
    <t xml:space="preserve">   Valmistumisvuosi</t>
  </si>
  <si>
    <t xml:space="preserve">   Rakennustunnus</t>
  </si>
  <si>
    <t xml:space="preserve">   Asuntojen lkm</t>
  </si>
  <si>
    <t xml:space="preserve">      -150</t>
  </si>
  <si>
    <t>AsOy Kotitalo</t>
  </si>
  <si>
    <t xml:space="preserve"> 321-</t>
  </si>
  <si>
    <t xml:space="preserve">ET-luokka </t>
  </si>
  <si>
    <r>
      <t>g</t>
    </r>
    <r>
      <rPr>
        <vertAlign val="subscript"/>
        <sz val="10"/>
        <rFont val="Arial"/>
        <family val="2"/>
      </rPr>
      <t>kohtisuora</t>
    </r>
  </si>
  <si>
    <r>
      <t>F</t>
    </r>
    <r>
      <rPr>
        <vertAlign val="subscript"/>
        <sz val="10"/>
        <rFont val="Arial"/>
        <family val="2"/>
      </rPr>
      <t>kehä</t>
    </r>
  </si>
  <si>
    <t>Ilmanvaihdon poistoilmavirta</t>
  </si>
  <si>
    <t>Huoneistokohtainen kulutusmittaus ja laskutus</t>
  </si>
  <si>
    <r>
      <t xml:space="preserve">Ylävarjostuksen korjauskerroin </t>
    </r>
    <r>
      <rPr>
        <b/>
        <sz val="9"/>
        <rFont val="Arial"/>
        <family val="2"/>
      </rPr>
      <t>F</t>
    </r>
    <r>
      <rPr>
        <vertAlign val="subscript"/>
        <sz val="9"/>
        <rFont val="Arial"/>
        <family val="2"/>
      </rPr>
      <t>ylävarjostus</t>
    </r>
    <r>
      <rPr>
        <sz val="9"/>
        <rFont val="Arial"/>
        <family val="0"/>
      </rPr>
      <t xml:space="preserve"> kaikkiin ilmansuuntiin</t>
    </r>
  </si>
  <si>
    <r>
      <t xml:space="preserve">Sivuvarjostuksen korjauskerroin </t>
    </r>
    <r>
      <rPr>
        <b/>
        <sz val="9"/>
        <rFont val="Arial"/>
        <family val="2"/>
      </rPr>
      <t>F</t>
    </r>
    <r>
      <rPr>
        <vertAlign val="subscript"/>
        <sz val="9"/>
        <rFont val="Arial"/>
        <family val="2"/>
      </rPr>
      <t>sivuvarjostus</t>
    </r>
    <r>
      <rPr>
        <sz val="9"/>
        <rFont val="Arial"/>
        <family val="0"/>
      </rPr>
      <t xml:space="preserve"> kaikkiin ilmansuuntiin</t>
    </r>
  </si>
  <si>
    <r>
      <t xml:space="preserve">Valoaukon kohtisuoran auringonsäteilyn kokonaisläpäisykerroin </t>
    </r>
    <r>
      <rPr>
        <b/>
        <sz val="9"/>
        <rFont val="Arial"/>
        <family val="2"/>
      </rPr>
      <t>g</t>
    </r>
    <r>
      <rPr>
        <vertAlign val="subscript"/>
        <sz val="9"/>
        <rFont val="Arial"/>
        <family val="2"/>
      </rPr>
      <t>kohtisuora</t>
    </r>
  </si>
  <si>
    <r>
      <t xml:space="preserve">Valoaukon auringon kokonaissäteilyn läpäisykerroin </t>
    </r>
    <r>
      <rPr>
        <b/>
        <sz val="9"/>
        <rFont val="Arial"/>
        <family val="2"/>
      </rPr>
      <t>g</t>
    </r>
    <r>
      <rPr>
        <sz val="9"/>
        <rFont val="Arial"/>
        <family val="0"/>
      </rPr>
      <t xml:space="preserve"> = 0.9*g</t>
    </r>
    <r>
      <rPr>
        <vertAlign val="subscript"/>
        <sz val="9"/>
        <rFont val="Arial"/>
        <family val="2"/>
      </rPr>
      <t>kohtisuora</t>
    </r>
  </si>
  <si>
    <r>
      <t xml:space="preserve">Verhokerroin, </t>
    </r>
    <r>
      <rPr>
        <b/>
        <sz val="9"/>
        <rFont val="Arial"/>
        <family val="2"/>
      </rPr>
      <t>F</t>
    </r>
    <r>
      <rPr>
        <vertAlign val="subscript"/>
        <sz val="9"/>
        <rFont val="Arial"/>
        <family val="2"/>
      </rPr>
      <t>verho</t>
    </r>
    <r>
      <rPr>
        <sz val="9"/>
        <rFont val="Arial"/>
        <family val="0"/>
      </rPr>
      <t xml:space="preserve"> </t>
    </r>
  </si>
  <si>
    <r>
      <t xml:space="preserve">Kehäkerroin, </t>
    </r>
    <r>
      <rPr>
        <b/>
        <sz val="9"/>
        <rFont val="Arial"/>
        <family val="2"/>
      </rPr>
      <t>F</t>
    </r>
    <r>
      <rPr>
        <vertAlign val="subscript"/>
        <sz val="9"/>
        <rFont val="Arial"/>
        <family val="2"/>
      </rPr>
      <t>kehä</t>
    </r>
  </si>
  <si>
    <t>Jäähdytysenergian kulutus</t>
  </si>
  <si>
    <t>Rakennuksen energiankulutus yhteensä</t>
  </si>
  <si>
    <r>
      <t>(m</t>
    </r>
    <r>
      <rPr>
        <vertAlign val="superscript"/>
        <sz val="9"/>
        <rFont val="Arial"/>
        <family val="0"/>
      </rPr>
      <t>2</t>
    </r>
    <r>
      <rPr>
        <sz val="9"/>
        <rFont val="Arial"/>
        <family val="0"/>
      </rPr>
      <t>)</t>
    </r>
  </si>
  <si>
    <r>
      <t>m</t>
    </r>
    <r>
      <rPr>
        <vertAlign val="superscript"/>
        <sz val="9"/>
        <rFont val="Arial"/>
        <family val="0"/>
      </rPr>
      <t>3</t>
    </r>
    <r>
      <rPr>
        <sz val="9"/>
        <rFont val="Arial"/>
        <family val="0"/>
      </rPr>
      <t>/vuosi</t>
    </r>
  </si>
  <si>
    <r>
      <t>rak-m</t>
    </r>
    <r>
      <rPr>
        <b/>
        <vertAlign val="superscript"/>
        <sz val="9"/>
        <rFont val="Arial"/>
        <family val="2"/>
      </rPr>
      <t>3</t>
    </r>
  </si>
  <si>
    <r>
      <t>hum</t>
    </r>
    <r>
      <rPr>
        <b/>
        <vertAlign val="superscript"/>
        <sz val="9"/>
        <rFont val="Arial"/>
        <family val="2"/>
      </rPr>
      <t>2</t>
    </r>
  </si>
  <si>
    <r>
      <t>m</t>
    </r>
    <r>
      <rPr>
        <b/>
        <vertAlign val="superscript"/>
        <sz val="9"/>
        <rFont val="Arial"/>
        <family val="2"/>
      </rPr>
      <t>3</t>
    </r>
  </si>
  <si>
    <r>
      <t>Rakennuksen energiatehokkuusluku (ET-luku, kWh/brm</t>
    </r>
    <r>
      <rPr>
        <b/>
        <vertAlign val="superscript"/>
        <sz val="10"/>
        <rFont val="Arial"/>
        <family val="2"/>
      </rPr>
      <t>2</t>
    </r>
    <r>
      <rPr>
        <b/>
        <sz val="10"/>
        <rFont val="Arial"/>
        <family val="2"/>
      </rPr>
      <t>/vuosi):</t>
    </r>
  </si>
  <si>
    <t>Energiatehokkuusluvun luokitteluasteikko: Pienet asuinrakennukset</t>
  </si>
  <si>
    <t>X</t>
  </si>
  <si>
    <r>
      <t>Tehollinen lämpökapasiteetti C</t>
    </r>
    <r>
      <rPr>
        <b/>
        <vertAlign val="subscript"/>
        <sz val="10"/>
        <rFont val="Arial"/>
        <family val="2"/>
      </rPr>
      <t>rak omin</t>
    </r>
  </si>
  <si>
    <r>
      <t>Wh/brm</t>
    </r>
    <r>
      <rPr>
        <vertAlign val="superscript"/>
        <sz val="9"/>
        <rFont val="Arial"/>
        <family val="2"/>
      </rPr>
      <t>2</t>
    </r>
    <r>
      <rPr>
        <sz val="9"/>
        <rFont val="Arial"/>
        <family val="0"/>
      </rPr>
      <t>K</t>
    </r>
  </si>
  <si>
    <r>
      <t>m</t>
    </r>
    <r>
      <rPr>
        <vertAlign val="superscript"/>
        <sz val="9"/>
        <rFont val="Arial"/>
        <family val="2"/>
      </rPr>
      <t>3</t>
    </r>
    <r>
      <rPr>
        <sz val="9"/>
        <rFont val="Arial"/>
        <family val="0"/>
      </rPr>
      <t>/s</t>
    </r>
  </si>
  <si>
    <r>
      <t>Matalaenegiarakentamisen lämpöhäviötaso</t>
    </r>
    <r>
      <rPr>
        <sz val="9"/>
        <rFont val="Arial"/>
        <family val="0"/>
      </rPr>
      <t xml:space="preserve"> =0.60*vertailuratkaisu; täyttyykö</t>
    </r>
  </si>
  <si>
    <t>Todellinen kulutus riippuu rakennuksen sijainnista, asukkaiden lukumäärästätä ja asumistottumuksista.</t>
  </si>
  <si>
    <r>
      <t>kWh/brm</t>
    </r>
    <r>
      <rPr>
        <vertAlign val="superscript"/>
        <sz val="9"/>
        <rFont val="Arial"/>
        <family val="0"/>
      </rPr>
      <t>2</t>
    </r>
    <r>
      <rPr>
        <sz val="9"/>
        <rFont val="Arial"/>
        <family val="0"/>
      </rPr>
      <t>/v</t>
    </r>
  </si>
  <si>
    <t>KAIKKIEN TOIMENPITEIDEN YHTEISVAIKUTUS</t>
  </si>
  <si>
    <t>Ulkoseinät, ovet ja ikkunat</t>
  </si>
  <si>
    <t>Tilojen ja käyttöveden lämmitysjärjestelmät</t>
  </si>
  <si>
    <t xml:space="preserve">  Ominaislämpöhäviöt</t>
  </si>
  <si>
    <r>
      <t>ENERGIATODISTUKSEN LASKENTA (ET-luku)</t>
    </r>
    <r>
      <rPr>
        <sz val="10"/>
        <rFont val="Arial"/>
        <family val="2"/>
      </rPr>
      <t xml:space="preserve"> </t>
    </r>
    <r>
      <rPr>
        <sz val="9"/>
        <rFont val="Arial"/>
        <family val="2"/>
      </rPr>
      <t>as per YmpMin asetus &amp; D5-2007 19 Jun 2007</t>
    </r>
  </si>
  <si>
    <r>
      <t>TASAUSLASKELMA</t>
    </r>
    <r>
      <rPr>
        <sz val="10"/>
        <rFont val="Arial"/>
        <family val="2"/>
      </rPr>
      <t xml:space="preserve"> </t>
    </r>
    <r>
      <rPr>
        <sz val="9"/>
        <rFont val="Arial"/>
        <family val="2"/>
      </rPr>
      <t>as per D3-2007 19 Jun 2007</t>
    </r>
  </si>
  <si>
    <r>
      <t>KOKONAISKULUTUS (</t>
    </r>
    <r>
      <rPr>
        <b/>
        <sz val="10"/>
        <color indexed="17"/>
        <rFont val="Arial"/>
        <family val="2"/>
      </rPr>
      <t>=&gt; ET-luku</t>
    </r>
    <r>
      <rPr>
        <b/>
        <sz val="10"/>
        <rFont val="Arial"/>
        <family val="2"/>
      </rPr>
      <t>)</t>
    </r>
  </si>
  <si>
    <t>Henkilömäärä (energiatodistus)</t>
  </si>
  <si>
    <t>Henkilömäärä (energialaskenta)</t>
  </si>
  <si>
    <t>Mitoittava ulkoilman lämpötila (energiatodistus)</t>
  </si>
  <si>
    <t>Mitoittava ulkoilman lämpötila (energialaskenta)</t>
  </si>
  <si>
    <t xml:space="preserve">   Ulkoseinä 2: Siporex 250mm + PUR 100mm + puuverhoilu</t>
  </si>
  <si>
    <t xml:space="preserve">   pinnoite 20mm; alapuolinen maa moreenia</t>
  </si>
  <si>
    <t xml:space="preserve">   Alapohja 2: maanvastainen; EPS 200mm + betonilaatta 80mm +  </t>
  </si>
  <si>
    <r>
      <t>(W/m</t>
    </r>
    <r>
      <rPr>
        <vertAlign val="superscript"/>
        <sz val="9"/>
        <rFont val="Arial"/>
        <family val="2"/>
      </rPr>
      <t>2</t>
    </r>
    <r>
      <rPr>
        <sz val="9"/>
        <rFont val="Arial"/>
        <family val="2"/>
      </rPr>
      <t>K</t>
    </r>
    <r>
      <rPr>
        <sz val="9"/>
        <rFont val="Arial"/>
        <family val="0"/>
      </rPr>
      <t>)</t>
    </r>
  </si>
  <si>
    <r>
      <t>TASAUSLASKELMA ET-lukua varten</t>
    </r>
    <r>
      <rPr>
        <sz val="10"/>
        <rFont val="Arial"/>
        <family val="2"/>
      </rPr>
      <t xml:space="preserve"> </t>
    </r>
    <r>
      <rPr>
        <sz val="9"/>
        <rFont val="Arial"/>
        <family val="2"/>
      </rPr>
      <t>as per D3-2007 19 Jun 2007</t>
    </r>
  </si>
  <si>
    <r>
      <t xml:space="preserve">ENERGIANKULUTUS =&gt; </t>
    </r>
    <r>
      <rPr>
        <b/>
        <sz val="9"/>
        <color indexed="17"/>
        <rFont val="Arial"/>
        <family val="2"/>
      </rPr>
      <t>ET-luku</t>
    </r>
    <r>
      <rPr>
        <b/>
        <sz val="9"/>
        <rFont val="Arial"/>
        <family val="2"/>
      </rPr>
      <t xml:space="preserve"> </t>
    </r>
    <r>
      <rPr>
        <sz val="9"/>
        <rFont val="Arial"/>
        <family val="2"/>
      </rPr>
      <t>(as per D5 19 Jun 2007)</t>
    </r>
  </si>
  <si>
    <t>KOK.KULUTUS</t>
  </si>
  <si>
    <t>Huon.ala</t>
  </si>
  <si>
    <t>Lämmitys tilat + käyttövesi</t>
  </si>
  <si>
    <r>
      <t>1   Sähkö</t>
    </r>
    <r>
      <rPr>
        <sz val="9"/>
        <rFont val="Arial"/>
        <family val="2"/>
      </rPr>
      <t>: vuosihyötysuhde</t>
    </r>
  </si>
  <si>
    <r>
      <t>2   Kaukolämpö</t>
    </r>
    <r>
      <rPr>
        <sz val="9"/>
        <rFont val="Arial"/>
        <family val="2"/>
      </rPr>
      <t>: vuosihyötysuhde</t>
    </r>
  </si>
  <si>
    <t>Alapohja 2 (maanvastainen)</t>
  </si>
  <si>
    <t>Alapohja 1 (ryömintätilaan)</t>
  </si>
  <si>
    <t>Rakennuskohde</t>
  </si>
  <si>
    <t xml:space="preserve">Rakennuslupatunnus </t>
  </si>
  <si>
    <t>Rakennuksen lämpöhäviön määräystenmukaisuuden tarkistuslista</t>
  </si>
  <si>
    <t>www.ymparisto.fi/download.asp?contentid=82328&amp;lan=fi</t>
  </si>
  <si>
    <t>www.ymparisto.fi/download.asp?contentid=84298&amp;lan=Fi</t>
  </si>
  <si>
    <t>www.ymparisto.fi/download.asp?contentid=80008&amp;lan=en</t>
  </si>
  <si>
    <t>Pinta-alat (osa C3)</t>
  </si>
  <si>
    <t>-  puolilämpimissä tiloissa</t>
  </si>
  <si>
    <t>-  lämpimissä tiloissa</t>
  </si>
  <si>
    <t>rostasoaloista, mutta kuitenkin enintään 50 % julkisivujen pinta-alasta</t>
  </si>
  <si>
    <t>Vertailuikkunapinta-ala on 15 % yhteenlasketuista maanpäällisistä ker-</t>
  </si>
  <si>
    <t>lämmitys: 4.15</t>
  </si>
  <si>
    <t>Rakennusosien yhteenlaskettu pinta-ala sama molemmissa</t>
  </si>
  <si>
    <t>ratkaisuissa</t>
  </si>
  <si>
    <t>Rakennusosien U-arvot ja vaipan lämpöhäviö (osa C3)</t>
  </si>
  <si>
    <t>U-arvot ovat enintään enimmäisarvojen suuruisia</t>
  </si>
  <si>
    <t xml:space="preserve">Vaipan suunnittelu- ja vertailuratkaisun ominaislämpöhäviön suhde </t>
  </si>
  <si>
    <t>on enintään 1,2</t>
  </si>
  <si>
    <t>Tot. arvo</t>
  </si>
  <si>
    <t>Enimm.arvo</t>
  </si>
  <si>
    <t>Rakennuksen lämpöhäviöiden tasaus (D3)</t>
  </si>
  <si>
    <t xml:space="preserve">Suunnitteluratkaisun ominaislämpöhäviö on enintään </t>
  </si>
  <si>
    <t>vertailuratkaisun suuruinen</t>
  </si>
  <si>
    <t>Suunnitteluratkaisu täyttää lämpöhäviövaatimukset</t>
  </si>
  <si>
    <t>Tarkistuslistan yhteenveto</t>
  </si>
  <si>
    <t>Lisäselvitykset</t>
  </si>
  <si>
    <t>Rakennuksen vuotoilma (osa D3)</t>
  </si>
  <si>
    <r>
      <t>Jos lämpöhäviölaskelmissa vaipan ilmanvuotoluvun n</t>
    </r>
    <r>
      <rPr>
        <vertAlign val="subscript"/>
        <sz val="9"/>
        <rFont val="Arial"/>
        <family val="2"/>
      </rPr>
      <t>50</t>
    </r>
    <r>
      <rPr>
        <sz val="9"/>
        <rFont val="Arial"/>
        <family val="0"/>
      </rPr>
      <t xml:space="preserve"> suunnitteluarvo on alle 4 1/h,</t>
    </r>
  </si>
  <si>
    <t>Jos lämpöhäviölaskelmissa LTO:n vuosihyötysuhteen suunnitteluarvo on suurempi kuin 30 %,</t>
  </si>
  <si>
    <t>vuosihyötysuhteesta on esitettävä lisäselvitys</t>
  </si>
  <si>
    <t>Ilmanvaihdon lämmöntalteenoton (LTO) hyötysuhde (osa D2)</t>
  </si>
  <si>
    <t>Matalaenergiarakennuksen lämpöhäviötaso</t>
  </si>
  <si>
    <t>vertailuratkaisun ominaislämpöhäviöstä</t>
  </si>
  <si>
    <t>Suunnitteluratkaisun ominaislämpöhäviö on enintään 60 %</t>
  </si>
  <si>
    <t>Suunnitteluratkaisu vastaa matalaenergiarakennuksen</t>
  </si>
  <si>
    <t>60 % vertailu-</t>
  </si>
  <si>
    <t>ilmanpitävyydestä on esitettävä lisäselvitys</t>
  </si>
  <si>
    <t>arvo (W/K)</t>
  </si>
  <si>
    <r>
      <t>kWh/brm</t>
    </r>
    <r>
      <rPr>
        <vertAlign val="superscript"/>
        <sz val="9"/>
        <rFont val="Arial"/>
        <family val="2"/>
      </rPr>
      <t>2</t>
    </r>
    <r>
      <rPr>
        <sz val="9"/>
        <rFont val="Arial"/>
        <family val="0"/>
      </rPr>
      <t>/vuosi</t>
    </r>
  </si>
  <si>
    <t>Rakennuksen ominaisuuksia</t>
  </si>
  <si>
    <r>
      <t>Ulkovaipan ilmanvuotoluku; n</t>
    </r>
    <r>
      <rPr>
        <vertAlign val="subscript"/>
        <sz val="9"/>
        <rFont val="Arial"/>
        <family val="2"/>
      </rPr>
      <t>50</t>
    </r>
    <r>
      <rPr>
        <sz val="9"/>
        <rFont val="Arial"/>
        <family val="0"/>
      </rPr>
      <t>luku</t>
    </r>
  </si>
  <si>
    <t>Ilmanvaihdon LTO:n kuvaus</t>
  </si>
  <si>
    <t>Pyörivä LTO</t>
  </si>
  <si>
    <t>Ilmanvaihdon LTO:n vuosihyötysuhde (energiatodistus)</t>
  </si>
  <si>
    <t>Ilmanvaihdon LTO:n vuosihyötysuhde (energialaskenta)</t>
  </si>
  <si>
    <t>Ilmanvaihtojärjestelmän ottama sähköteho</t>
  </si>
  <si>
    <t>kW</t>
  </si>
  <si>
    <t>Ilmanvaihtojärjestelmän ominaissähköteho; SFP-luku</t>
  </si>
  <si>
    <r>
      <t>kW/(m</t>
    </r>
    <r>
      <rPr>
        <vertAlign val="superscript"/>
        <sz val="9"/>
        <rFont val="Arial"/>
        <family val="2"/>
      </rPr>
      <t>3</t>
    </r>
    <r>
      <rPr>
        <sz val="9"/>
        <rFont val="Arial"/>
        <family val="0"/>
      </rPr>
      <t>/s)</t>
    </r>
  </si>
  <si>
    <t>L2.1</t>
  </si>
  <si>
    <r>
      <t xml:space="preserve">Tilojen lämmitys </t>
    </r>
    <r>
      <rPr>
        <sz val="9"/>
        <rFont val="Arial"/>
        <family val="0"/>
      </rPr>
      <t>(kWh/a)</t>
    </r>
  </si>
  <si>
    <r>
      <t>Käyttöveden lämmitys</t>
    </r>
    <r>
      <rPr>
        <sz val="9"/>
        <rFont val="Arial"/>
        <family val="0"/>
      </rPr>
      <t xml:space="preserve"> </t>
    </r>
  </si>
  <si>
    <r>
      <t>Lämpöhäviöenergiat</t>
    </r>
    <r>
      <rPr>
        <sz val="9"/>
        <rFont val="Arial"/>
        <family val="0"/>
      </rPr>
      <t xml:space="preserve"> (kWh/a)</t>
    </r>
  </si>
  <si>
    <r>
      <t>Sähkönkulutus</t>
    </r>
    <r>
      <rPr>
        <sz val="9"/>
        <rFont val="Arial"/>
        <family val="0"/>
      </rPr>
      <t xml:space="preserve"> (kWh/a)</t>
    </r>
  </si>
  <si>
    <r>
      <t xml:space="preserve">Kuukausikohtaiset laskelmat </t>
    </r>
    <r>
      <rPr>
        <sz val="10"/>
        <rFont val="Arial"/>
        <family val="2"/>
      </rPr>
      <t>(as per D5-2007 dated 19 Jun 2007)</t>
    </r>
  </si>
  <si>
    <r>
      <t xml:space="preserve">Kuukausikohtaiset laskelmat </t>
    </r>
    <r>
      <rPr>
        <sz val="10"/>
        <rFont val="Arial"/>
        <family val="2"/>
      </rPr>
      <t xml:space="preserve">(as per D5-2007 dated 19 Jun 2007) </t>
    </r>
  </si>
  <si>
    <r>
      <t>(</t>
    </r>
    <r>
      <rPr>
        <vertAlign val="superscript"/>
        <sz val="9"/>
        <rFont val="Arial"/>
        <family val="2"/>
      </rPr>
      <t>o</t>
    </r>
    <r>
      <rPr>
        <sz val="9"/>
        <rFont val="Arial"/>
        <family val="2"/>
      </rPr>
      <t>C)</t>
    </r>
  </si>
  <si>
    <t>o</t>
  </si>
  <si>
    <t>(0.30 / 1.00)</t>
  </si>
  <si>
    <t>Lämpimän käyttöveden mitoitusvirtaama</t>
  </si>
  <si>
    <r>
      <t>m</t>
    </r>
    <r>
      <rPr>
        <vertAlign val="superscript"/>
        <sz val="9"/>
        <rFont val="Arial"/>
        <family val="2"/>
      </rPr>
      <t>3</t>
    </r>
    <r>
      <rPr>
        <sz val="9"/>
        <rFont val="Arial"/>
        <family val="0"/>
      </rPr>
      <t>/a</t>
    </r>
  </si>
  <si>
    <t>Lämpimän käyttöveden kulutus (energiatodistus)</t>
  </si>
  <si>
    <t>l/s</t>
  </si>
  <si>
    <t>Jäähdytetty</t>
  </si>
  <si>
    <t>sisälämpöt.</t>
  </si>
  <si>
    <t>Jäähdytysenergian (JE) kulutus</t>
  </si>
  <si>
    <t>JE</t>
  </si>
  <si>
    <t>tarve</t>
  </si>
  <si>
    <t>L.2.2</t>
  </si>
  <si>
    <t>Sisälämpöt.</t>
  </si>
  <si>
    <t>ilman jäähd.</t>
  </si>
  <si>
    <t>Ylläkuvattu laskelma on D5 L2 mukaisesti.</t>
  </si>
  <si>
    <t xml:space="preserve">Kaikissa ratkaisuissa ilmanvaihtokoneen LTO voidaan ottaa kesäkuukausina pois päältä, jäähdyttää tiloja ja koko </t>
  </si>
  <si>
    <t>Lämmitysjärjestelmien tiedot</t>
  </si>
  <si>
    <t>ei</t>
  </si>
  <si>
    <t>Onko käyttöveden kiertojohtoon kytketty lämmityslaitteita</t>
  </si>
  <si>
    <t>Jäähdytysjärjestelmä</t>
  </si>
  <si>
    <t>Tilojen jäähdytyksen tuottamistapa</t>
  </si>
  <si>
    <t>Lämmön tuottamistapa</t>
  </si>
  <si>
    <t>Maakylmäpumppu</t>
  </si>
  <si>
    <r>
      <t>lämpöhäviötasoa</t>
    </r>
    <r>
      <rPr>
        <sz val="10"/>
        <rFont val="Arial"/>
        <family val="2"/>
      </rPr>
      <t xml:space="preserve"> </t>
    </r>
    <r>
      <rPr>
        <sz val="9"/>
        <rFont val="Arial"/>
        <family val="2"/>
      </rPr>
      <t>(siis on vaatimuksen mukainen tai sitä parempi)</t>
    </r>
  </si>
  <si>
    <t>Rakennuslupatunnus (viranomainen täyttää)</t>
  </si>
  <si>
    <t>Energiaselvityksen tekijä</t>
  </si>
  <si>
    <t>Pääsuunnittelija</t>
  </si>
  <si>
    <t>Pääsuunnittelijan allekirjoitus</t>
  </si>
  <si>
    <t>Päiväys</t>
  </si>
  <si>
    <t>Rakennuksen lämpimien tilojen ominaislämpöhäviö</t>
  </si>
  <si>
    <t>1   Tunniste / Perustiedot</t>
  </si>
  <si>
    <t>2   Lämpöhäviöiden määräystenmukaisuus</t>
  </si>
  <si>
    <t>3   Ilmanvaihtojärjestelmän ominaissähköteho</t>
  </si>
  <si>
    <t>Ilmanvaihtojärjestelmän kuvaus</t>
  </si>
  <si>
    <t>Tämä todistus on Ympäristöministeriön energialaskentaohjeiden 17.04.2008 mukainen.</t>
  </si>
  <si>
    <t>Tämä tasauslaskelma on Ympäristöministeriön energialaskentaohjeiden 17.04.2008 mukainen.</t>
  </si>
  <si>
    <t>Tämä tarkistuslista on Ympäristöministeriön energialaskentaohjeiden 17.04.2008 mukainen.</t>
  </si>
  <si>
    <t>Lämmöntuottotapa</t>
  </si>
  <si>
    <t>Mitoittava ulkolämpötila</t>
  </si>
  <si>
    <t>Käyttöveden lämmitysjärjestelmä</t>
  </si>
  <si>
    <t>Huonelämmitysjärjestelmän teho</t>
  </si>
  <si>
    <t>Ilmanvaihdon tuloilman lämmitysjärjestelmän teho</t>
  </si>
  <si>
    <t>Käyttöveden lämmitysjärjestelmän teho</t>
  </si>
  <si>
    <t>Jäähdytys:</t>
  </si>
  <si>
    <t>6   Rakennuksen energiankulutus ja ostoenergiankulutus</t>
  </si>
  <si>
    <t>Rakennuksen energiankulutus rakennuksen säävyöhykkeen tai sijaintipaikkakunnan säätiedoilla:</t>
  </si>
  <si>
    <t>Rakennuksen energiankulutus on yhteensä:</t>
  </si>
  <si>
    <t>7   Rakennuksen energiatodistus</t>
  </si>
  <si>
    <t xml:space="preserve">    04 Apr (huhti)</t>
  </si>
  <si>
    <t xml:space="preserve">    05 May (touko)</t>
  </si>
  <si>
    <t>Hinta</t>
  </si>
  <si>
    <t>yhteensä</t>
  </si>
  <si>
    <t xml:space="preserve">    06 Jun (kesä)</t>
  </si>
  <si>
    <t xml:space="preserve">    07 Jul (heinä)</t>
  </si>
  <si>
    <t xml:space="preserve">    08 Aug (elo)</t>
  </si>
  <si>
    <t xml:space="preserve">    09 Sep (syys)</t>
  </si>
  <si>
    <t xml:space="preserve">    lämmitysenergiankulutus:</t>
  </si>
  <si>
    <t xml:space="preserve">    sähköenergiankulutus:</t>
  </si>
  <si>
    <t xml:space="preserve">    jäähdytys:</t>
  </si>
  <si>
    <t>Rakennuksen energiatehokkuusluku (ET-luku)</t>
  </si>
  <si>
    <t>Rakennuksen energiatehokkuusluokka (ET-luokka)</t>
  </si>
  <si>
    <t>Lämpimän käyttöveden kulutus (energialaskenta)</t>
  </si>
  <si>
    <t>Säävyöhyke (energiatodistus)</t>
  </si>
  <si>
    <t>Sijaintipaikan säävyöhyke (energialaskenta)</t>
  </si>
  <si>
    <t>III Jyväskylä 1979</t>
  </si>
  <si>
    <t>Tämä energiaselvitys on Ympäristöministeriön energialaskentaohjeiden 17.04.2008 mukainen.</t>
  </si>
  <si>
    <t>D5-2007</t>
  </si>
  <si>
    <t xml:space="preserve">Passiiviset ja käyttötekniset keinot huonelämpötilan hallitsemiseksi: </t>
  </si>
  <si>
    <t>Käytetty laskentamenetelmä kaikissa osioissa</t>
  </si>
  <si>
    <t>Käytetyt säätiedot muissa osioissa: sijaintipaikan säävyöhyke</t>
  </si>
  <si>
    <t>Käytetyt säätiedot: säävyöhyke energiatodistusta varten</t>
  </si>
  <si>
    <t>Jäähdytyksen mitoittava huonelämpötila (asetusarvo)</t>
  </si>
  <si>
    <t>W/K</t>
  </si>
  <si>
    <t xml:space="preserve">    Ominaislämpöhäviö vertailutasoon verrattuna</t>
  </si>
  <si>
    <t xml:space="preserve">Maalämpöpumppu &amp; tulistus </t>
  </si>
  <si>
    <t xml:space="preserve"> </t>
  </si>
  <si>
    <t>Lämpimän käyttöveden tuottamistapa</t>
  </si>
  <si>
    <t>Lasse Laihiala</t>
  </si>
  <si>
    <t>Päivi Päämies</t>
  </si>
  <si>
    <t>Jäähdytyksen asetusarvo</t>
  </si>
  <si>
    <t>Omakotikatu 2</t>
  </si>
  <si>
    <t>FI-02760 Espoo</t>
  </si>
  <si>
    <t>Postitoimipaikka</t>
  </si>
  <si>
    <t>Tilojen lämmitysjärjestelmä; lämmönjakotapa</t>
  </si>
  <si>
    <t>Vesikiertoinen lattialämmitys 32/28</t>
  </si>
  <si>
    <t>jäähdyttämisvaatimuksia lieventämään.</t>
  </si>
  <si>
    <t>5   Arvio (kesäaikaisesta) huonelämpötilasta</t>
  </si>
  <si>
    <t xml:space="preserve">    01 Jan (tammi)</t>
  </si>
  <si>
    <t xml:space="preserve">    02 Feb (helmi)</t>
  </si>
  <si>
    <t xml:space="preserve">    10 Oct (loka)</t>
  </si>
  <si>
    <t xml:space="preserve">    11 Nov (marras)</t>
  </si>
  <si>
    <t xml:space="preserve">    12 Dec (joulu)</t>
  </si>
  <si>
    <t>Ilman jäähdytystä</t>
  </si>
  <si>
    <r>
      <t>kW/(m</t>
    </r>
    <r>
      <rPr>
        <i/>
        <vertAlign val="superscript"/>
        <sz val="9"/>
        <rFont val="Arial"/>
        <family val="2"/>
      </rPr>
      <t>3</t>
    </r>
    <r>
      <rPr>
        <i/>
        <sz val="9"/>
        <rFont val="Arial"/>
        <family val="2"/>
      </rPr>
      <t>/s)</t>
    </r>
  </si>
  <si>
    <r>
      <t>o</t>
    </r>
    <r>
      <rPr>
        <i/>
        <sz val="9"/>
        <rFont val="Arial"/>
        <family val="2"/>
      </rPr>
      <t>C</t>
    </r>
  </si>
  <si>
    <t xml:space="preserve">    03 Mar (maalis)</t>
  </si>
  <si>
    <r>
      <t>Kuukauden keskimäär. huonelämpötila on (</t>
    </r>
    <r>
      <rPr>
        <vertAlign val="superscript"/>
        <sz val="9"/>
        <rFont val="Arial"/>
        <family val="2"/>
      </rPr>
      <t>o</t>
    </r>
    <r>
      <rPr>
        <sz val="9"/>
        <rFont val="Arial"/>
        <family val="0"/>
      </rPr>
      <t>C):</t>
    </r>
  </si>
  <si>
    <r>
      <t>Jos ominaissähköteho ylittää osan D2 mukaisen ohjearvon 2.5 kW/(m</t>
    </r>
    <r>
      <rPr>
        <vertAlign val="superscript"/>
        <sz val="9"/>
        <rFont val="Arial"/>
        <family val="2"/>
      </rPr>
      <t>3</t>
    </r>
    <r>
      <rPr>
        <sz val="9"/>
        <rFont val="Arial"/>
        <family val="0"/>
      </rPr>
      <t>/s), esitetään selvitys liitteenä</t>
    </r>
  </si>
  <si>
    <r>
      <t>kWh/brm</t>
    </r>
    <r>
      <rPr>
        <vertAlign val="superscript"/>
        <sz val="9"/>
        <rFont val="Arial"/>
        <family val="2"/>
      </rPr>
      <t>2</t>
    </r>
    <r>
      <rPr>
        <sz val="9"/>
        <rFont val="Arial"/>
        <family val="2"/>
      </rPr>
      <t>a</t>
    </r>
  </si>
  <si>
    <r>
      <t>kWh/</t>
    </r>
    <r>
      <rPr>
        <sz val="9"/>
        <rFont val="Arial"/>
        <family val="2"/>
      </rPr>
      <t>a</t>
    </r>
  </si>
  <si>
    <t xml:space="preserve">    sähkö:</t>
  </si>
  <si>
    <t xml:space="preserve">    kaukolämpö:</t>
  </si>
  <si>
    <t xml:space="preserve">    polttoaine:</t>
  </si>
  <si>
    <t xml:space="preserve">    kaukokylmä:</t>
  </si>
  <si>
    <t>Valkoiset sälekaihtimet lasien välissä, LTO pois käytöstä kesäkuukausina, tilojen ja koko rakennuksen jäähdyttäminen viileänä yöaikana.</t>
  </si>
  <si>
    <t>Tulistus</t>
  </si>
  <si>
    <t>2*bruttoala</t>
  </si>
  <si>
    <r>
      <t>2 kWh/m</t>
    </r>
    <r>
      <rPr>
        <vertAlign val="superscript"/>
        <sz val="9"/>
        <rFont val="Arial"/>
        <family val="0"/>
      </rPr>
      <t>2</t>
    </r>
    <r>
      <rPr>
        <sz val="9"/>
        <rFont val="Arial"/>
        <family val="0"/>
      </rPr>
      <t>a</t>
    </r>
  </si>
  <si>
    <r>
      <t>1 kWh/m</t>
    </r>
    <r>
      <rPr>
        <vertAlign val="superscript"/>
        <sz val="9"/>
        <rFont val="Arial"/>
        <family val="0"/>
      </rPr>
      <t>2</t>
    </r>
    <r>
      <rPr>
        <sz val="9"/>
        <rFont val="Arial"/>
        <family val="0"/>
      </rPr>
      <t>a</t>
    </r>
  </si>
  <si>
    <t>(6.3)</t>
  </si>
  <si>
    <t>50*bruttoala =</t>
  </si>
  <si>
    <t>(T8.1)</t>
  </si>
  <si>
    <t>70W*hlö*käyttöaste 0.6 =</t>
  </si>
  <si>
    <t>70W/hlö*0.6</t>
  </si>
  <si>
    <t>NOTE:</t>
  </si>
  <si>
    <t>Maalämpöpumppu</t>
  </si>
  <si>
    <t>Maalämpöpumppu &amp; tulistus; ei kiertojohtoa eikä siihen liitettyjä lämmönluovuttajia.</t>
  </si>
  <si>
    <t>Johtuminen</t>
  </si>
  <si>
    <t>Vuotoilma</t>
  </si>
  <si>
    <t>Käyttövesi</t>
  </si>
  <si>
    <t>(9.3)</t>
  </si>
  <si>
    <t>(9.4)</t>
  </si>
  <si>
    <r>
      <t>4  Muut lämmöntuottotavat  (öljy, pelletti, puu etc): Tällä ohjelmalla voi laskea ostoenergian määrän muillakin lämmitystavoilla; tällöin käytetään ao lämmöntuottotavan vuosihyötysuhdetta (0.7-0.93) D5 taulukosta 3.1. Ostoenergian määrä (kWh) muutetaan polttoaineen määräksi (l, kg, m</t>
    </r>
    <r>
      <rPr>
        <vertAlign val="superscript"/>
        <sz val="10"/>
        <rFont val="Arial"/>
        <family val="2"/>
      </rPr>
      <t>3</t>
    </r>
    <r>
      <rPr>
        <sz val="10"/>
        <rFont val="Arial"/>
        <family val="0"/>
      </rPr>
      <t xml:space="preserve"> etc) käyttämällä ao polttoaineen tehollista lämpöarvoa D5 taulukosta 3.2. Kun saatu polttoainemäärä sitten kerrotaan polttoaineen toimittajalta saatavalla hinnalla sijaintipaikkakunnalla, saadaan myös lämmityskustannukset (EUR). Tämä ohjelma tuottaa siis öljyä, puuta etc käyttävien lämmitystapojen ostoenergiamäärät, mutta kustannukset on laskettava erikseen edellä sanotulla tavalla. </t>
    </r>
  </si>
  <si>
    <t>(9.5)</t>
  </si>
  <si>
    <t>(9.10)</t>
  </si>
  <si>
    <t>Yhteensä</t>
  </si>
  <si>
    <t>(Taloussähkö)</t>
  </si>
  <si>
    <t>Poistoilman LT-suhde</t>
  </si>
  <si>
    <t>Ominaislämpöhäviö</t>
  </si>
  <si>
    <t>(9.7)</t>
  </si>
  <si>
    <t>(9.6)</t>
  </si>
  <si>
    <t>Tehon tarve</t>
  </si>
  <si>
    <t>(9.8)</t>
  </si>
  <si>
    <t>Tuloilman LT-suhde</t>
  </si>
  <si>
    <t>(9.9)</t>
  </si>
  <si>
    <t>Huonelämmitys</t>
  </si>
  <si>
    <t>4   Rakennuksen tarvitsema lämmitysteho</t>
  </si>
  <si>
    <t>Ilmanvaihtojärjestelmien/LTO:n sekä niihin liittyvien lämmitysjärjestelmien toimintatapa, tehokkuus ja lähtöarvot</t>
  </si>
  <si>
    <r>
      <t>Rakennuksen tarvitsema lämmitysteho</t>
    </r>
    <r>
      <rPr>
        <sz val="10"/>
        <rFont val="Arial"/>
        <family val="2"/>
      </rPr>
      <t xml:space="preserve"> (as per D5 19 Jun 2007)</t>
    </r>
  </si>
  <si>
    <t>Varmistetaan LVIS-suunnittelijoiden toimesta.</t>
  </si>
  <si>
    <r>
      <t xml:space="preserve">Ohjeita laskentaan löytyy Ympäristöministeriön julkaisuista: </t>
    </r>
    <r>
      <rPr>
        <i/>
        <sz val="9"/>
        <rFont val="Arial"/>
        <family val="2"/>
      </rPr>
      <t>D5-2007</t>
    </r>
    <r>
      <rPr>
        <sz val="9"/>
        <rFont val="Arial"/>
        <family val="2"/>
      </rPr>
      <t xml:space="preserve">, </t>
    </r>
    <r>
      <rPr>
        <i/>
        <sz val="9"/>
        <rFont val="Arial"/>
        <family val="2"/>
      </rPr>
      <t>Pientalon D5/2007 - energialaskentaopas</t>
    </r>
    <r>
      <rPr>
        <sz val="9"/>
        <rFont val="Arial"/>
        <family val="2"/>
      </rPr>
      <t>, sekä</t>
    </r>
  </si>
  <si>
    <r>
      <t xml:space="preserve">moniste 122 </t>
    </r>
    <r>
      <rPr>
        <i/>
        <sz val="9"/>
        <rFont val="Arial"/>
        <family val="2"/>
      </rPr>
      <t>Ilmanvaihdon lämmöntalteenotto lämpöhäviöiden tasauslaskennassa</t>
    </r>
  </si>
  <si>
    <t>Koneellinen tulo- ja poistoilmanvaihtojärjestelmä, joka on varustettu energiatehokkaalla pyörivällä LTO:lla.</t>
  </si>
  <si>
    <r>
      <t>Jälkilämmityskennostossa kiertää maalämpöpumpun tuottama lattioiden lämmitysvesi (32</t>
    </r>
    <r>
      <rPr>
        <i/>
        <vertAlign val="superscript"/>
        <sz val="9"/>
        <rFont val="Arial"/>
        <family val="2"/>
      </rPr>
      <t>o</t>
    </r>
    <r>
      <rPr>
        <i/>
        <sz val="9"/>
        <rFont val="Arial"/>
        <family val="0"/>
      </rPr>
      <t>C). Tehon tarve laskettu maalämpöpumpun hyötysuhteella.</t>
    </r>
  </si>
  <si>
    <t>Note: Lukujen merkinnässä (teksteissä, kommenteissa...) käytetään EUssa yleistynyttä erottelua: desimaalipilkku on piste (.) ja tuhaterottaja on pilkku (,). Excel-taulukot kuitenkin näkyvät ja asiakirjat tulostuvat omien asetustesi mukaisessa muodossa.</t>
  </si>
  <si>
    <t xml:space="preserve">     Kansi</t>
  </si>
  <si>
    <t xml:space="preserve">     Energiatodistus</t>
  </si>
  <si>
    <t xml:space="preserve">     Määräystenmukaisuus</t>
  </si>
  <si>
    <t xml:space="preserve">     Ohjeet</t>
  </si>
  <si>
    <t xml:space="preserve">All material © Copyright 2008, Villa Real Ltd/SA. </t>
  </si>
  <si>
    <r>
      <t>FutureConstruct</t>
    </r>
    <r>
      <rPr>
        <vertAlign val="superscript"/>
        <sz val="9"/>
        <rFont val="Arial"/>
        <family val="2"/>
      </rPr>
      <t>®</t>
    </r>
    <r>
      <rPr>
        <sz val="9"/>
        <rFont val="Arial"/>
        <family val="2"/>
      </rPr>
      <t xml:space="preserve"> and the symbolic FutureConstruct device</t>
    </r>
  </si>
  <si>
    <t>are registered trademarks of Villa Real Ltd/SA.</t>
  </si>
  <si>
    <t>Villa Superi</t>
  </si>
  <si>
    <t>L1.2-5.</t>
  </si>
  <si>
    <t>L1.2-5. (4.4)</t>
  </si>
  <si>
    <t>Maanvastainen alapohja: Lähtö data MAA</t>
  </si>
  <si>
    <t>Kiristyvien energiamääräysten (luonnos 17.06.2008) myötä joudutaan yleisesti tilanteeseen, jossa 4-6 kesäkuukauden</t>
  </si>
  <si>
    <r>
      <t>15kWh/m</t>
    </r>
    <r>
      <rPr>
        <vertAlign val="superscript"/>
        <sz val="9"/>
        <rFont val="Arial"/>
        <family val="0"/>
      </rPr>
      <t>2</t>
    </r>
    <r>
      <rPr>
        <sz val="9"/>
        <rFont val="Arial"/>
        <family val="0"/>
      </rPr>
      <t>a</t>
    </r>
  </si>
  <si>
    <t>ENERGIANTARVE &amp; LÄMPÖKUORMAT - Avustavia esimerkkilaskelmia</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</si>
</sst>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00"/>
    <numFmt numFmtId="167" formatCode="0.000"/>
    <numFmt numFmtId="168" formatCode="0.0000"/>
    <numFmt numFmtId="169" formatCode="&quot;Yes&quot;;&quot;Yes&quot;;&quot;No&quot;"/>
    <numFmt numFmtId="170" formatCode="&quot;True&quot;;&quot;True&quot;;&quot;False&quot;"/>
    <numFmt numFmtId="171" formatCode="&quot;On&quot;;&quot;On&quot;;&quot;Off&quot;"/>
    <numFmt numFmtId="172" formatCode="[$€-2]\ #,##0.00_);[Red]\([$€-2]\ #,##0.00\)"/>
    <numFmt numFmtId="173" formatCode="#,##0.0000"/>
    <numFmt numFmtId="174" formatCode="#,##0.00000"/>
    <numFmt numFmtId="175" formatCode="#,##0.000000"/>
    <numFmt numFmtId="176" formatCode="0.00000"/>
    <numFmt numFmtId="177" formatCode="0.000000"/>
    <numFmt numFmtId="178" formatCode="0.00000000"/>
    <numFmt numFmtId="179" formatCode="0.000000000"/>
    <numFmt numFmtId="180" formatCode="0.0000000"/>
  </numFmts>
  <fonts count="68">
    <font>
      <sz val="10"/>
      <name val="Arial"/>
      <family val="0"/>
    </font>
    <font>
      <b/>
      <sz val="10"/>
      <name val="Arial"/>
      <family val="2"/>
    </font>
    <font>
      <sz val="9"/>
      <name val="Arial"/>
      <family val="0"/>
    </font>
    <font>
      <b/>
      <sz val="9"/>
      <name val="Arial"/>
      <family val="0"/>
    </font>
    <font>
      <u val="single"/>
      <sz val="10"/>
      <color indexed="12"/>
      <name val="Arial"/>
      <family val="0"/>
    </font>
    <font>
      <sz val="6"/>
      <name val="Arial"/>
      <family val="2"/>
    </font>
    <font>
      <b/>
      <i/>
      <sz val="9"/>
      <name val="Arial"/>
      <family val="2"/>
    </font>
    <font>
      <i/>
      <sz val="9"/>
      <name val="Arial"/>
      <family val="0"/>
    </font>
    <font>
      <sz val="9"/>
      <color indexed="10"/>
      <name val="Arial"/>
      <family val="2"/>
    </font>
    <font>
      <vertAlign val="superscript"/>
      <sz val="9"/>
      <name val="Arial"/>
      <family val="2"/>
    </font>
    <font>
      <sz val="8"/>
      <name val="Arial"/>
      <family val="2"/>
    </font>
    <font>
      <b/>
      <sz val="9"/>
      <color indexed="10"/>
      <name val="Arial"/>
      <family val="0"/>
    </font>
    <font>
      <vertAlign val="superscript"/>
      <sz val="9"/>
      <color indexed="10"/>
      <name val="Arial"/>
      <family val="0"/>
    </font>
    <font>
      <vertAlign val="subscript"/>
      <sz val="9"/>
      <name val="Arial"/>
      <family val="2"/>
    </font>
    <font>
      <sz val="9"/>
      <color indexed="10"/>
      <name val="Times New Roman"/>
      <family val="1"/>
    </font>
    <font>
      <sz val="9"/>
      <color indexed="17"/>
      <name val="Arial"/>
      <family val="0"/>
    </font>
    <font>
      <b/>
      <sz val="9"/>
      <color indexed="17"/>
      <name val="Arial"/>
      <family val="0"/>
    </font>
    <font>
      <b/>
      <sz val="10"/>
      <color indexed="17"/>
      <name val="Arial"/>
      <family val="0"/>
    </font>
    <font>
      <sz val="1"/>
      <name val="Arial"/>
      <family val="2"/>
    </font>
    <font>
      <sz val="1.25"/>
      <name val="Arial"/>
      <family val="0"/>
    </font>
    <font>
      <b/>
      <sz val="1.5"/>
      <name val="Arial"/>
      <family val="0"/>
    </font>
    <font>
      <b/>
      <sz val="1.25"/>
      <name val="Arial"/>
      <family val="0"/>
    </font>
    <font>
      <b/>
      <vertAlign val="superscript"/>
      <sz val="1.25"/>
      <name val="Arial"/>
      <family val="2"/>
    </font>
    <font>
      <u val="single"/>
      <sz val="8"/>
      <color indexed="36"/>
      <name val="Arial"/>
      <family val="0"/>
    </font>
    <font>
      <b/>
      <sz val="22"/>
      <name val="Arial"/>
      <family val="2"/>
    </font>
    <font>
      <sz val="10"/>
      <name val="Tahoma"/>
      <family val="0"/>
    </font>
    <font>
      <sz val="9"/>
      <name val="Tahoma"/>
      <family val="2"/>
    </font>
    <font>
      <b/>
      <sz val="9"/>
      <name val="Tahoma"/>
      <family val="2"/>
    </font>
    <font>
      <b/>
      <u val="single"/>
      <sz val="1.5"/>
      <name val="Arial"/>
      <family val="2"/>
    </font>
    <font>
      <b/>
      <sz val="11"/>
      <color indexed="17"/>
      <name val="Arial"/>
      <family val="0"/>
    </font>
    <font>
      <b/>
      <vertAlign val="superscript"/>
      <sz val="9"/>
      <name val="Arial"/>
      <family val="2"/>
    </font>
    <font>
      <b/>
      <sz val="12"/>
      <name val="Arial"/>
      <family val="2"/>
    </font>
    <font>
      <sz val="12"/>
      <name val="Arial"/>
      <family val="0"/>
    </font>
    <font>
      <b/>
      <sz val="14"/>
      <name val="Arial"/>
      <family val="2"/>
    </font>
    <font>
      <sz val="11"/>
      <name val="Arial"/>
      <family val="0"/>
    </font>
    <font>
      <sz val="14"/>
      <name val="Arial"/>
      <family val="0"/>
    </font>
    <font>
      <vertAlign val="subscript"/>
      <sz val="10"/>
      <name val="Arial"/>
      <family val="2"/>
    </font>
    <font>
      <sz val="16"/>
      <name val="Arial"/>
      <family val="0"/>
    </font>
    <font>
      <b/>
      <sz val="14"/>
      <color indexed="10"/>
      <name val="Arial"/>
      <family val="2"/>
    </font>
    <font>
      <b/>
      <u val="single"/>
      <sz val="10"/>
      <name val="Arial"/>
      <family val="2"/>
    </font>
    <font>
      <i/>
      <sz val="10"/>
      <color indexed="17"/>
      <name val="Arial"/>
      <family val="2"/>
    </font>
    <font>
      <i/>
      <sz val="10"/>
      <color indexed="10"/>
      <name val="Arial"/>
      <family val="2"/>
    </font>
    <font>
      <b/>
      <sz val="14"/>
      <color indexed="17"/>
      <name val="Arial"/>
      <family val="2"/>
    </font>
    <font>
      <sz val="26"/>
      <color indexed="17"/>
      <name val="Arial"/>
      <family val="0"/>
    </font>
    <font>
      <b/>
      <sz val="26"/>
      <color indexed="17"/>
      <name val="Arial"/>
      <family val="2"/>
    </font>
    <font>
      <b/>
      <vertAlign val="subscript"/>
      <sz val="10"/>
      <name val="Arial"/>
      <family val="2"/>
    </font>
    <font>
      <b/>
      <vertAlign val="superscript"/>
      <sz val="10"/>
      <name val="Arial"/>
      <family val="2"/>
    </font>
    <font>
      <sz val="14"/>
      <color indexed="17"/>
      <name val="Arial"/>
      <family val="0"/>
    </font>
    <font>
      <vertAlign val="superscript"/>
      <sz val="9"/>
      <name val="Tahoma"/>
      <family val="2"/>
    </font>
    <font>
      <b/>
      <sz val="11.5"/>
      <name val="Arial"/>
      <family val="0"/>
    </font>
    <font>
      <sz val="9.75"/>
      <name val="Arial"/>
      <family val="0"/>
    </font>
    <font>
      <b/>
      <sz val="9.75"/>
      <name val="Arial"/>
      <family val="0"/>
    </font>
    <font>
      <b/>
      <u val="single"/>
      <sz val="11.5"/>
      <name val="Arial"/>
      <family val="2"/>
    </font>
    <font>
      <b/>
      <u val="single"/>
      <sz val="11.75"/>
      <name val="Arial"/>
      <family val="2"/>
    </font>
    <font>
      <b/>
      <sz val="11.75"/>
      <name val="Arial"/>
      <family val="0"/>
    </font>
    <font>
      <b/>
      <sz val="11"/>
      <name val="Arial"/>
      <family val="2"/>
    </font>
    <font>
      <b/>
      <i/>
      <sz val="9"/>
      <color indexed="10"/>
      <name val="Arial"/>
      <family val="2"/>
    </font>
    <font>
      <i/>
      <vertAlign val="superscript"/>
      <sz val="9"/>
      <name val="Arial"/>
      <family val="2"/>
    </font>
    <font>
      <i/>
      <sz val="10"/>
      <name val="Arial"/>
      <family val="0"/>
    </font>
    <font>
      <b/>
      <sz val="9"/>
      <color indexed="12"/>
      <name val="Arial"/>
      <family val="2"/>
    </font>
    <font>
      <b/>
      <vertAlign val="superscript"/>
      <sz val="9.75"/>
      <name val="Arial"/>
      <family val="2"/>
    </font>
    <font>
      <sz val="10"/>
      <name val="Wingdings"/>
      <family val="0"/>
    </font>
    <font>
      <b/>
      <sz val="48"/>
      <color indexed="17"/>
      <name val="Arial"/>
      <family val="2"/>
    </font>
    <font>
      <b/>
      <vertAlign val="superscript"/>
      <sz val="48"/>
      <color indexed="17"/>
      <name val="Arial"/>
      <family val="2"/>
    </font>
    <font>
      <vertAlign val="superscript"/>
      <sz val="10"/>
      <name val="Arial"/>
      <family val="2"/>
    </font>
    <font>
      <u val="single"/>
      <sz val="10"/>
      <name val="Arial"/>
      <family val="2"/>
    </font>
    <font>
      <i/>
      <sz val="9"/>
      <name val="Tahoma"/>
      <family val="2"/>
    </font>
    <font>
      <b/>
      <sz val="8"/>
      <name val="Arial"/>
      <family val="2"/>
    </font>
  </fonts>
  <fills count="9">
    <fill>
      <patternFill/>
    </fill>
    <fill>
      <patternFill patternType="gray125"/>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17"/>
        <bgColor indexed="64"/>
      </patternFill>
    </fill>
    <fill>
      <patternFill patternType="solid">
        <fgColor indexed="43"/>
        <bgColor indexed="64"/>
      </patternFill>
    </fill>
    <fill>
      <patternFill patternType="solid">
        <fgColor indexed="41"/>
        <bgColor indexed="64"/>
      </patternFill>
    </fill>
  </fills>
  <borders count="16">
    <border>
      <left/>
      <right/>
      <top/>
      <bottom/>
      <diagonal/>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852">
    <xf numFmtId="0" fontId="0" fillId="0" borderId="0" xfId="0" applyAlignment="1">
      <alignment/>
    </xf>
    <xf numFmtId="0" fontId="0" fillId="0" borderId="0" xfId="0" applyAlignment="1" applyProtection="1">
      <alignment/>
      <protection hidden="1"/>
    </xf>
    <xf numFmtId="0" fontId="0" fillId="0" borderId="0" xfId="0" applyAlignment="1" applyProtection="1">
      <alignment horizontal="left" wrapText="1"/>
      <protection hidden="1"/>
    </xf>
    <xf numFmtId="0" fontId="1" fillId="0" borderId="0" xfId="0" applyFont="1" applyAlignment="1" applyProtection="1">
      <alignment horizontal="left" wrapText="1"/>
      <protection hidden="1"/>
    </xf>
    <xf numFmtId="4" fontId="0" fillId="0" borderId="0" xfId="0" applyNumberFormat="1" applyFont="1" applyAlignment="1" applyProtection="1">
      <alignment vertical="center"/>
      <protection hidden="1"/>
    </xf>
    <xf numFmtId="49" fontId="0" fillId="0" borderId="0" xfId="0" applyNumberFormat="1" applyFont="1" applyBorder="1" applyAlignment="1" applyProtection="1">
      <alignment vertical="center"/>
      <protection hidden="1"/>
    </xf>
    <xf numFmtId="4" fontId="0" fillId="0" borderId="0" xfId="0" applyNumberFormat="1" applyFont="1" applyBorder="1" applyAlignment="1" applyProtection="1">
      <alignment vertical="center"/>
      <protection hidden="1"/>
    </xf>
    <xf numFmtId="0" fontId="24" fillId="0" borderId="0" xfId="0" applyFont="1" applyAlignment="1" applyProtection="1">
      <alignment horizontal="left" vertical="center"/>
      <protection hidden="1"/>
    </xf>
    <xf numFmtId="49" fontId="0" fillId="0" borderId="0" xfId="0" applyNumberFormat="1" applyFont="1" applyAlignment="1" applyProtection="1">
      <alignment vertical="center"/>
      <protection hidden="1"/>
    </xf>
    <xf numFmtId="0" fontId="2" fillId="0" borderId="0" xfId="0" applyNumberFormat="1" applyFont="1" applyAlignment="1" applyProtection="1">
      <alignment vertical="center"/>
      <protection hidden="1"/>
    </xf>
    <xf numFmtId="4" fontId="2" fillId="0" borderId="0" xfId="0" applyNumberFormat="1" applyFont="1" applyAlignment="1" applyProtection="1">
      <alignment vertical="center"/>
      <protection hidden="1"/>
    </xf>
    <xf numFmtId="4" fontId="0" fillId="0" borderId="0" xfId="0" applyNumberFormat="1" applyFont="1" applyFill="1" applyAlignment="1" applyProtection="1">
      <alignment vertical="center"/>
      <protection hidden="1"/>
    </xf>
    <xf numFmtId="0" fontId="0" fillId="0" borderId="0" xfId="0" applyAlignment="1" applyProtection="1">
      <alignment vertical="center"/>
      <protection hidden="1"/>
    </xf>
    <xf numFmtId="4" fontId="2" fillId="0" borderId="0" xfId="0" applyNumberFormat="1" applyFont="1" applyAlignment="1" applyProtection="1">
      <alignment vertical="center"/>
      <protection hidden="1"/>
    </xf>
    <xf numFmtId="49" fontId="31" fillId="0" borderId="0" xfId="0" applyNumberFormat="1" applyFont="1" applyBorder="1" applyAlignment="1" applyProtection="1">
      <alignment vertical="center"/>
      <protection hidden="1"/>
    </xf>
    <xf numFmtId="49" fontId="1" fillId="0" borderId="0" xfId="0" applyNumberFormat="1" applyFont="1" applyFill="1" applyAlignment="1" applyProtection="1">
      <alignment vertical="center"/>
      <protection hidden="1"/>
    </xf>
    <xf numFmtId="49" fontId="0" fillId="0" borderId="0" xfId="0" applyNumberFormat="1" applyFont="1" applyFill="1" applyAlignment="1" applyProtection="1">
      <alignment vertical="center"/>
      <protection hidden="1"/>
    </xf>
    <xf numFmtId="0" fontId="2" fillId="0" borderId="0" xfId="0" applyNumberFormat="1" applyFont="1" applyFill="1" applyAlignment="1" applyProtection="1">
      <alignment vertical="center"/>
      <protection hidden="1"/>
    </xf>
    <xf numFmtId="4" fontId="2" fillId="0" borderId="0" xfId="0" applyNumberFormat="1" applyFont="1" applyFill="1" applyAlignment="1" applyProtection="1">
      <alignment vertical="center"/>
      <protection hidden="1"/>
    </xf>
    <xf numFmtId="49" fontId="1" fillId="2" borderId="0" xfId="0" applyNumberFormat="1" applyFont="1" applyFill="1" applyBorder="1" applyAlignment="1" applyProtection="1">
      <alignment vertical="center"/>
      <protection hidden="1"/>
    </xf>
    <xf numFmtId="4" fontId="0" fillId="0" borderId="0" xfId="0" applyNumberFormat="1" applyFont="1" applyFill="1" applyBorder="1" applyAlignment="1" applyProtection="1">
      <alignment vertical="center"/>
      <protection hidden="1"/>
    </xf>
    <xf numFmtId="49" fontId="1" fillId="2" borderId="0" xfId="0" applyNumberFormat="1" applyFont="1" applyFill="1" applyAlignment="1" applyProtection="1">
      <alignment vertical="center"/>
      <protection hidden="1"/>
    </xf>
    <xf numFmtId="49" fontId="0" fillId="2" borderId="0" xfId="0" applyNumberFormat="1" applyFont="1" applyFill="1" applyAlignment="1" applyProtection="1">
      <alignment vertical="center"/>
      <protection hidden="1"/>
    </xf>
    <xf numFmtId="0" fontId="2" fillId="2" borderId="0" xfId="0" applyNumberFormat="1" applyFont="1" applyFill="1" applyAlignment="1" applyProtection="1">
      <alignment vertical="center"/>
      <protection hidden="1"/>
    </xf>
    <xf numFmtId="4" fontId="0" fillId="2" borderId="0" xfId="0" applyNumberFormat="1" applyFont="1" applyFill="1" applyAlignment="1" applyProtection="1">
      <alignment vertical="center"/>
      <protection hidden="1"/>
    </xf>
    <xf numFmtId="4" fontId="2" fillId="2" borderId="0" xfId="0" applyNumberFormat="1" applyFont="1" applyFill="1" applyAlignment="1" applyProtection="1">
      <alignment vertical="center"/>
      <protection hidden="1"/>
    </xf>
    <xf numFmtId="4" fontId="1" fillId="2" borderId="0" xfId="0" applyNumberFormat="1" applyFont="1" applyFill="1" applyAlignment="1" applyProtection="1">
      <alignment vertical="center"/>
      <protection hidden="1"/>
    </xf>
    <xf numFmtId="4" fontId="2" fillId="2" borderId="0" xfId="0" applyNumberFormat="1" applyFont="1" applyFill="1" applyAlignment="1" applyProtection="1">
      <alignment vertical="center"/>
      <protection hidden="1"/>
    </xf>
    <xf numFmtId="49" fontId="2" fillId="2" borderId="0" xfId="0" applyNumberFormat="1" applyFont="1" applyFill="1" applyAlignment="1" applyProtection="1">
      <alignment horizontal="center" vertical="center"/>
      <protection hidden="1"/>
    </xf>
    <xf numFmtId="0" fontId="0" fillId="2" borderId="0" xfId="0" applyFill="1" applyAlignment="1" applyProtection="1">
      <alignment vertical="center"/>
      <protection hidden="1"/>
    </xf>
    <xf numFmtId="4" fontId="0" fillId="2" borderId="0" xfId="0" applyNumberFormat="1" applyFont="1" applyFill="1" applyAlignment="1" applyProtection="1">
      <alignment vertical="center"/>
      <protection hidden="1"/>
    </xf>
    <xf numFmtId="49" fontId="2" fillId="0" borderId="0" xfId="0" applyNumberFormat="1" applyFont="1" applyAlignment="1" applyProtection="1">
      <alignment vertical="center"/>
      <protection hidden="1"/>
    </xf>
    <xf numFmtId="4" fontId="0" fillId="0" borderId="1" xfId="0" applyNumberFormat="1" applyFont="1" applyBorder="1" applyAlignment="1" applyProtection="1">
      <alignment vertical="center"/>
      <protection hidden="1"/>
    </xf>
    <xf numFmtId="49" fontId="2" fillId="0" borderId="0" xfId="0" applyNumberFormat="1" applyFont="1" applyAlignment="1" applyProtection="1">
      <alignment horizontal="center" vertical="center"/>
      <protection hidden="1"/>
    </xf>
    <xf numFmtId="49" fontId="2" fillId="0" borderId="0" xfId="0" applyNumberFormat="1" applyFont="1" applyBorder="1" applyAlignment="1" applyProtection="1">
      <alignment vertical="center"/>
      <protection hidden="1"/>
    </xf>
    <xf numFmtId="4" fontId="2" fillId="0" borderId="0" xfId="0" applyNumberFormat="1" applyFont="1" applyBorder="1" applyAlignment="1" applyProtection="1">
      <alignment vertical="center"/>
      <protection hidden="1"/>
    </xf>
    <xf numFmtId="49" fontId="3" fillId="0" borderId="2" xfId="0" applyNumberFormat="1" applyFont="1" applyBorder="1" applyAlignment="1" applyProtection="1">
      <alignment vertical="center"/>
      <protection hidden="1"/>
    </xf>
    <xf numFmtId="49" fontId="3" fillId="0" borderId="3" xfId="0" applyNumberFormat="1" applyFont="1" applyBorder="1" applyAlignment="1" applyProtection="1">
      <alignment vertical="center"/>
      <protection hidden="1"/>
    </xf>
    <xf numFmtId="0" fontId="2" fillId="0" borderId="4" xfId="0" applyNumberFormat="1" applyFont="1" applyBorder="1" applyAlignment="1" applyProtection="1">
      <alignment vertical="center"/>
      <protection hidden="1"/>
    </xf>
    <xf numFmtId="4" fontId="3" fillId="0" borderId="3" xfId="0" applyNumberFormat="1" applyFont="1" applyBorder="1" applyAlignment="1" applyProtection="1">
      <alignment vertical="center"/>
      <protection hidden="1"/>
    </xf>
    <xf numFmtId="4" fontId="2" fillId="0" borderId="4" xfId="0" applyNumberFormat="1" applyFont="1" applyBorder="1" applyAlignment="1" applyProtection="1">
      <alignment vertical="center"/>
      <protection hidden="1"/>
    </xf>
    <xf numFmtId="4" fontId="3" fillId="0" borderId="3" xfId="0" applyNumberFormat="1" applyFont="1" applyBorder="1" applyAlignment="1" applyProtection="1">
      <alignment horizontal="left" vertical="center"/>
      <protection hidden="1"/>
    </xf>
    <xf numFmtId="4" fontId="2" fillId="0" borderId="4" xfId="0" applyNumberFormat="1" applyFont="1" applyBorder="1" applyAlignment="1" applyProtection="1">
      <alignment horizontal="center" vertical="center"/>
      <protection hidden="1"/>
    </xf>
    <xf numFmtId="4" fontId="3" fillId="0" borderId="2" xfId="0" applyNumberFormat="1" applyFont="1" applyBorder="1" applyAlignment="1" applyProtection="1">
      <alignment horizontal="center" vertical="center"/>
      <protection hidden="1"/>
    </xf>
    <xf numFmtId="4" fontId="3" fillId="0" borderId="0" xfId="0" applyNumberFormat="1" applyFont="1" applyFill="1" applyBorder="1" applyAlignment="1" applyProtection="1">
      <alignment horizontal="center" vertical="center"/>
      <protection hidden="1"/>
    </xf>
    <xf numFmtId="49" fontId="3" fillId="0" borderId="0" xfId="0" applyNumberFormat="1" applyFont="1" applyAlignment="1" applyProtection="1">
      <alignment horizontal="center" vertical="center"/>
      <protection hidden="1"/>
    </xf>
    <xf numFmtId="49" fontId="3" fillId="0" borderId="0" xfId="0" applyNumberFormat="1" applyFont="1" applyAlignment="1" applyProtection="1">
      <alignment horizontal="left" vertical="center"/>
      <protection hidden="1"/>
    </xf>
    <xf numFmtId="49" fontId="8" fillId="0" borderId="0" xfId="0" applyNumberFormat="1" applyFont="1" applyAlignment="1" applyProtection="1">
      <alignment horizontal="center" vertical="center"/>
      <protection hidden="1"/>
    </xf>
    <xf numFmtId="49" fontId="8" fillId="0" borderId="0" xfId="0" applyNumberFormat="1" applyFont="1" applyAlignment="1" applyProtection="1">
      <alignment vertical="center"/>
      <protection hidden="1"/>
    </xf>
    <xf numFmtId="49" fontId="11" fillId="0" borderId="0" xfId="0" applyNumberFormat="1" applyFont="1" applyAlignment="1" applyProtection="1">
      <alignment horizontal="center" vertical="center"/>
      <protection hidden="1"/>
    </xf>
    <xf numFmtId="49" fontId="15" fillId="0" borderId="0" xfId="0" applyNumberFormat="1" applyFont="1" applyAlignment="1" applyProtection="1">
      <alignment horizontal="center" vertical="center"/>
      <protection hidden="1"/>
    </xf>
    <xf numFmtId="49" fontId="17" fillId="0" borderId="0" xfId="0" applyNumberFormat="1" applyFont="1" applyAlignment="1" applyProtection="1">
      <alignment horizontal="center" vertical="center"/>
      <protection hidden="1"/>
    </xf>
    <xf numFmtId="0" fontId="2" fillId="0" borderId="0" xfId="0" applyFont="1" applyAlignment="1" applyProtection="1">
      <alignment vertical="center"/>
      <protection hidden="1"/>
    </xf>
    <xf numFmtId="0" fontId="1" fillId="0" borderId="0" xfId="0" applyFont="1" applyAlignment="1" applyProtection="1">
      <alignment horizontal="left" vertical="center"/>
      <protection hidden="1"/>
    </xf>
    <xf numFmtId="49" fontId="3" fillId="0" borderId="5" xfId="0" applyNumberFormat="1" applyFont="1" applyBorder="1" applyAlignment="1" applyProtection="1">
      <alignment vertical="center"/>
      <protection hidden="1"/>
    </xf>
    <xf numFmtId="49" fontId="3" fillId="0" borderId="6" xfId="0" applyNumberFormat="1" applyFont="1" applyBorder="1" applyAlignment="1" applyProtection="1">
      <alignment vertical="center"/>
      <protection hidden="1"/>
    </xf>
    <xf numFmtId="0" fontId="2" fillId="0" borderId="7" xfId="0" applyNumberFormat="1" applyFont="1" applyBorder="1" applyAlignment="1" applyProtection="1">
      <alignment vertical="center"/>
      <protection hidden="1"/>
    </xf>
    <xf numFmtId="4" fontId="2" fillId="0" borderId="6" xfId="0" applyNumberFormat="1" applyFont="1" applyBorder="1" applyAlignment="1" applyProtection="1">
      <alignment vertical="center"/>
      <protection hidden="1"/>
    </xf>
    <xf numFmtId="4" fontId="2" fillId="0" borderId="7" xfId="0" applyNumberFormat="1" applyFont="1" applyBorder="1" applyAlignment="1" applyProtection="1">
      <alignment vertical="center"/>
      <protection hidden="1"/>
    </xf>
    <xf numFmtId="4" fontId="2" fillId="0" borderId="8" xfId="0" applyNumberFormat="1" applyFont="1" applyBorder="1" applyAlignment="1" applyProtection="1">
      <alignment horizontal="center" vertical="center"/>
      <protection hidden="1"/>
    </xf>
    <xf numFmtId="4" fontId="2" fillId="0" borderId="0" xfId="0" applyNumberFormat="1" applyFont="1" applyFill="1" applyBorder="1" applyAlignment="1" applyProtection="1">
      <alignment horizontal="center" vertical="center"/>
      <protection hidden="1"/>
    </xf>
    <xf numFmtId="0" fontId="2" fillId="0" borderId="0" xfId="0" applyFont="1" applyAlignment="1" applyProtection="1">
      <alignment horizontal="center" vertical="center"/>
      <protection hidden="1"/>
    </xf>
    <xf numFmtId="49" fontId="2" fillId="0" borderId="5" xfId="0" applyNumberFormat="1" applyFont="1" applyBorder="1" applyAlignment="1" applyProtection="1">
      <alignment horizontal="center" vertical="center"/>
      <protection hidden="1"/>
    </xf>
    <xf numFmtId="49" fontId="2" fillId="0" borderId="2" xfId="0" applyNumberFormat="1" applyFont="1" applyBorder="1" applyAlignment="1" applyProtection="1">
      <alignment horizontal="center" vertical="center"/>
      <protection hidden="1"/>
    </xf>
    <xf numFmtId="0" fontId="2" fillId="0" borderId="9" xfId="0" applyNumberFormat="1" applyFont="1" applyBorder="1" applyAlignment="1" applyProtection="1">
      <alignment horizontal="center" vertical="center"/>
      <protection hidden="1"/>
    </xf>
    <xf numFmtId="4" fontId="2" fillId="0" borderId="2" xfId="0" applyNumberFormat="1" applyFont="1" applyBorder="1" applyAlignment="1" applyProtection="1">
      <alignment horizontal="center" vertical="center"/>
      <protection hidden="1"/>
    </xf>
    <xf numFmtId="4" fontId="2" fillId="0" borderId="9" xfId="0" applyNumberFormat="1" applyFont="1" applyBorder="1" applyAlignment="1" applyProtection="1">
      <alignment horizontal="center" vertical="center"/>
      <protection hidden="1"/>
    </xf>
    <xf numFmtId="4" fontId="2" fillId="2" borderId="9" xfId="0" applyNumberFormat="1" applyFont="1" applyFill="1" applyBorder="1" applyAlignment="1" applyProtection="1">
      <alignment horizontal="center" vertical="center"/>
      <protection hidden="1"/>
    </xf>
    <xf numFmtId="4" fontId="2" fillId="0" borderId="5" xfId="0" applyNumberFormat="1" applyFont="1" applyBorder="1" applyAlignment="1" applyProtection="1">
      <alignment horizontal="center" vertical="center"/>
      <protection hidden="1"/>
    </xf>
    <xf numFmtId="4" fontId="2" fillId="0" borderId="0" xfId="0" applyNumberFormat="1" applyFont="1" applyFill="1" applyBorder="1" applyAlignment="1" applyProtection="1">
      <alignment horizontal="center" vertical="center"/>
      <protection hidden="1"/>
    </xf>
    <xf numFmtId="49" fontId="2" fillId="0" borderId="0" xfId="0" applyNumberFormat="1" applyFont="1" applyAlignment="1" applyProtection="1">
      <alignment horizontal="center" vertical="center"/>
      <protection hidden="1"/>
    </xf>
    <xf numFmtId="49" fontId="16" fillId="0" borderId="0" xfId="0" applyNumberFormat="1" applyFont="1" applyAlignment="1" applyProtection="1">
      <alignment horizontal="center" vertical="center"/>
      <protection hidden="1"/>
    </xf>
    <xf numFmtId="49" fontId="16" fillId="0" borderId="0" xfId="0" applyNumberFormat="1" applyFont="1" applyAlignment="1" applyProtection="1">
      <alignment horizontal="center" vertical="center"/>
      <protection hidden="1"/>
    </xf>
    <xf numFmtId="0" fontId="2" fillId="0" borderId="0" xfId="0" applyFont="1" applyAlignment="1" applyProtection="1">
      <alignment horizontal="center" vertical="center"/>
      <protection hidden="1"/>
    </xf>
    <xf numFmtId="49" fontId="3" fillId="0" borderId="8" xfId="0" applyNumberFormat="1" applyFont="1" applyBorder="1" applyAlignment="1" applyProtection="1">
      <alignment horizontal="center" vertical="center"/>
      <protection hidden="1"/>
    </xf>
    <xf numFmtId="49" fontId="2" fillId="0" borderId="8" xfId="0" applyNumberFormat="1" applyFont="1" applyBorder="1" applyAlignment="1" applyProtection="1">
      <alignment horizontal="center" vertical="center"/>
      <protection hidden="1"/>
    </xf>
    <xf numFmtId="0" fontId="2" fillId="0" borderId="7" xfId="0" applyNumberFormat="1" applyFont="1" applyBorder="1" applyAlignment="1" applyProtection="1">
      <alignment horizontal="center" vertical="center"/>
      <protection hidden="1"/>
    </xf>
    <xf numFmtId="4" fontId="2" fillId="0" borderId="8" xfId="0" applyNumberFormat="1" applyFont="1" applyBorder="1" applyAlignment="1" applyProtection="1">
      <alignment horizontal="center" vertical="center"/>
      <protection hidden="1"/>
    </xf>
    <xf numFmtId="4" fontId="2" fillId="0" borderId="7" xfId="0" applyNumberFormat="1" applyFont="1" applyBorder="1" applyAlignment="1" applyProtection="1">
      <alignment horizontal="center" vertical="center"/>
      <protection hidden="1"/>
    </xf>
    <xf numFmtId="4" fontId="2" fillId="2" borderId="7" xfId="0" applyNumberFormat="1" applyFont="1" applyFill="1" applyBorder="1" applyAlignment="1" applyProtection="1">
      <alignment horizontal="center" vertical="center"/>
      <protection hidden="1"/>
    </xf>
    <xf numFmtId="0" fontId="0" fillId="0" borderId="0" xfId="0" applyAlignment="1" applyProtection="1">
      <alignment horizontal="center" vertical="center"/>
      <protection hidden="1"/>
    </xf>
    <xf numFmtId="49" fontId="6" fillId="0" borderId="5" xfId="0" applyNumberFormat="1" applyFont="1" applyBorder="1" applyAlignment="1" applyProtection="1">
      <alignment vertical="center"/>
      <protection hidden="1"/>
    </xf>
    <xf numFmtId="0" fontId="2" fillId="0" borderId="5" xfId="0" applyNumberFormat="1" applyFont="1" applyBorder="1" applyAlignment="1" applyProtection="1">
      <alignment vertical="center"/>
      <protection hidden="1"/>
    </xf>
    <xf numFmtId="0" fontId="2" fillId="0" borderId="5" xfId="0" applyNumberFormat="1" applyFont="1" applyFill="1" applyBorder="1" applyAlignment="1" applyProtection="1">
      <alignment vertical="center"/>
      <protection hidden="1"/>
    </xf>
    <xf numFmtId="2" fontId="2" fillId="0" borderId="5" xfId="0" applyNumberFormat="1" applyFont="1" applyBorder="1" applyAlignment="1" applyProtection="1">
      <alignment vertical="center"/>
      <protection hidden="1"/>
    </xf>
    <xf numFmtId="4" fontId="2" fillId="0" borderId="5" xfId="0" applyNumberFormat="1" applyFont="1" applyBorder="1" applyAlignment="1" applyProtection="1">
      <alignment vertical="center"/>
      <protection hidden="1"/>
    </xf>
    <xf numFmtId="4" fontId="2" fillId="2" borderId="5" xfId="0" applyNumberFormat="1" applyFont="1" applyFill="1" applyBorder="1" applyAlignment="1" applyProtection="1">
      <alignment vertical="center"/>
      <protection hidden="1"/>
    </xf>
    <xf numFmtId="3" fontId="2" fillId="0" borderId="5" xfId="0" applyNumberFormat="1" applyFont="1" applyBorder="1" applyAlignment="1" applyProtection="1">
      <alignment vertical="center"/>
      <protection hidden="1"/>
    </xf>
    <xf numFmtId="3" fontId="2" fillId="0" borderId="0" xfId="0" applyNumberFormat="1" applyFont="1" applyFill="1" applyBorder="1" applyAlignment="1" applyProtection="1">
      <alignment vertical="center"/>
      <protection hidden="1"/>
    </xf>
    <xf numFmtId="49" fontId="15" fillId="0" borderId="0" xfId="0" applyNumberFormat="1" applyFont="1" applyAlignment="1" applyProtection="1">
      <alignment horizontal="center" vertical="center"/>
      <protection hidden="1"/>
    </xf>
    <xf numFmtId="49" fontId="2" fillId="0" borderId="5" xfId="0" applyNumberFormat="1" applyFont="1" applyBorder="1" applyAlignment="1" applyProtection="1">
      <alignment vertical="center"/>
      <protection hidden="1"/>
    </xf>
    <xf numFmtId="165" fontId="2" fillId="0" borderId="5" xfId="0" applyNumberFormat="1" applyFont="1" applyBorder="1" applyAlignment="1" applyProtection="1">
      <alignment vertical="center"/>
      <protection hidden="1"/>
    </xf>
    <xf numFmtId="165" fontId="2" fillId="2" borderId="5" xfId="0" applyNumberFormat="1" applyFont="1" applyFill="1" applyBorder="1" applyAlignment="1" applyProtection="1">
      <alignment vertical="center"/>
      <protection hidden="1"/>
    </xf>
    <xf numFmtId="4" fontId="8" fillId="0" borderId="0" xfId="0" applyNumberFormat="1" applyFont="1" applyAlignment="1" applyProtection="1">
      <alignment vertical="center"/>
      <protection hidden="1"/>
    </xf>
    <xf numFmtId="4" fontId="15" fillId="0" borderId="0" xfId="0" applyNumberFormat="1" applyFont="1" applyAlignment="1" applyProtection="1">
      <alignment vertical="center"/>
      <protection hidden="1"/>
    </xf>
    <xf numFmtId="49" fontId="1" fillId="0" borderId="3" xfId="0" applyNumberFormat="1" applyFont="1" applyBorder="1" applyAlignment="1" applyProtection="1">
      <alignment vertical="center"/>
      <protection hidden="1"/>
    </xf>
    <xf numFmtId="165" fontId="2" fillId="0" borderId="0" xfId="0" applyNumberFormat="1" applyFont="1" applyAlignment="1" applyProtection="1">
      <alignment vertical="center"/>
      <protection hidden="1"/>
    </xf>
    <xf numFmtId="3" fontId="2" fillId="0" borderId="0" xfId="0" applyNumberFormat="1" applyFont="1" applyAlignment="1" applyProtection="1">
      <alignment vertical="center"/>
      <protection hidden="1"/>
    </xf>
    <xf numFmtId="3" fontId="2" fillId="0" borderId="0" xfId="0" applyNumberFormat="1" applyFont="1" applyAlignment="1" applyProtection="1">
      <alignment vertical="center"/>
      <protection hidden="1"/>
    </xf>
    <xf numFmtId="3" fontId="8" fillId="0" borderId="0" xfId="0" applyNumberFormat="1" applyFont="1" applyFill="1" applyBorder="1" applyAlignment="1" applyProtection="1">
      <alignment vertical="center"/>
      <protection hidden="1"/>
    </xf>
    <xf numFmtId="3" fontId="8" fillId="0" borderId="0" xfId="0" applyNumberFormat="1" applyFont="1" applyAlignment="1" applyProtection="1">
      <alignment vertical="center"/>
      <protection hidden="1"/>
    </xf>
    <xf numFmtId="3" fontId="15" fillId="0" borderId="0" xfId="0" applyNumberFormat="1" applyFont="1" applyAlignment="1" applyProtection="1">
      <alignment vertical="center"/>
      <protection hidden="1"/>
    </xf>
    <xf numFmtId="165" fontId="2" fillId="0" borderId="0" xfId="0" applyNumberFormat="1" applyFont="1" applyAlignment="1" applyProtection="1">
      <alignment vertical="center"/>
      <protection hidden="1"/>
    </xf>
    <xf numFmtId="165" fontId="2" fillId="0" borderId="0" xfId="0" applyNumberFormat="1" applyFont="1" applyAlignment="1" applyProtection="1">
      <alignment horizontal="right" vertical="center"/>
      <protection hidden="1"/>
    </xf>
    <xf numFmtId="3" fontId="2" fillId="0" borderId="0" xfId="0" applyNumberFormat="1" applyFont="1" applyAlignment="1" applyProtection="1">
      <alignment horizontal="right" vertical="center"/>
      <protection hidden="1"/>
    </xf>
    <xf numFmtId="49" fontId="0" fillId="0" borderId="10" xfId="0" applyNumberFormat="1" applyFont="1" applyBorder="1" applyAlignment="1" applyProtection="1">
      <alignment vertical="center"/>
      <protection hidden="1"/>
    </xf>
    <xf numFmtId="4" fontId="0" fillId="0" borderId="9" xfId="0" applyNumberFormat="1" applyFont="1" applyBorder="1" applyAlignment="1" applyProtection="1">
      <alignment vertical="center"/>
      <protection hidden="1"/>
    </xf>
    <xf numFmtId="49" fontId="3" fillId="0" borderId="10" xfId="0" applyNumberFormat="1" applyFont="1" applyBorder="1" applyAlignment="1" applyProtection="1">
      <alignment vertical="center"/>
      <protection hidden="1"/>
    </xf>
    <xf numFmtId="4" fontId="2" fillId="0" borderId="9" xfId="0" applyNumberFormat="1" applyFont="1" applyBorder="1" applyAlignment="1" applyProtection="1">
      <alignment vertical="center"/>
      <protection hidden="1"/>
    </xf>
    <xf numFmtId="4" fontId="2" fillId="0" borderId="9" xfId="0" applyNumberFormat="1" applyFont="1" applyBorder="1" applyAlignment="1" applyProtection="1">
      <alignment vertical="center"/>
      <protection hidden="1"/>
    </xf>
    <xf numFmtId="4" fontId="2" fillId="0" borderId="0" xfId="0" applyNumberFormat="1" applyFont="1" applyFill="1" applyBorder="1" applyAlignment="1" applyProtection="1">
      <alignment vertical="center"/>
      <protection hidden="1"/>
    </xf>
    <xf numFmtId="164" fontId="2" fillId="0" borderId="0" xfId="0" applyNumberFormat="1" applyFont="1" applyAlignment="1" applyProtection="1">
      <alignment vertical="center"/>
      <protection hidden="1"/>
    </xf>
    <xf numFmtId="49" fontId="2" fillId="0" borderId="10" xfId="0" applyNumberFormat="1" applyFont="1" applyBorder="1" applyAlignment="1" applyProtection="1">
      <alignment vertical="center"/>
      <protection hidden="1"/>
    </xf>
    <xf numFmtId="164" fontId="2" fillId="0" borderId="5" xfId="0" applyNumberFormat="1" applyFont="1" applyBorder="1" applyAlignment="1" applyProtection="1">
      <alignment vertical="center"/>
      <protection hidden="1"/>
    </xf>
    <xf numFmtId="164" fontId="2" fillId="2" borderId="5" xfId="0" applyNumberFormat="1" applyFont="1" applyFill="1" applyBorder="1" applyAlignment="1" applyProtection="1">
      <alignment vertical="center"/>
      <protection hidden="1"/>
    </xf>
    <xf numFmtId="4" fontId="2" fillId="0" borderId="10" xfId="0" applyNumberFormat="1" applyFont="1" applyBorder="1" applyAlignment="1" applyProtection="1">
      <alignment vertical="center"/>
      <protection hidden="1"/>
    </xf>
    <xf numFmtId="4" fontId="2" fillId="0" borderId="8" xfId="0" applyNumberFormat="1" applyFont="1" applyBorder="1" applyAlignment="1" applyProtection="1">
      <alignment vertical="center"/>
      <protection hidden="1"/>
    </xf>
    <xf numFmtId="49" fontId="3" fillId="3" borderId="11" xfId="0" applyNumberFormat="1" applyFont="1" applyFill="1" applyBorder="1" applyAlignment="1" applyProtection="1">
      <alignment vertical="center"/>
      <protection hidden="1"/>
    </xf>
    <xf numFmtId="1" fontId="2" fillId="3" borderId="11" xfId="0" applyNumberFormat="1" applyFont="1" applyFill="1" applyBorder="1" applyAlignment="1" applyProtection="1">
      <alignment vertical="center"/>
      <protection hidden="1"/>
    </xf>
    <xf numFmtId="2" fontId="2" fillId="3" borderId="11" xfId="0" applyNumberFormat="1" applyFont="1" applyFill="1" applyBorder="1" applyAlignment="1" applyProtection="1">
      <alignment vertical="center"/>
      <protection hidden="1"/>
    </xf>
    <xf numFmtId="165" fontId="2" fillId="3" borderId="11" xfId="0" applyNumberFormat="1" applyFont="1" applyFill="1" applyBorder="1" applyAlignment="1" applyProtection="1">
      <alignment vertical="center"/>
      <protection hidden="1"/>
    </xf>
    <xf numFmtId="165" fontId="2" fillId="2" borderId="11" xfId="0" applyNumberFormat="1" applyFont="1" applyFill="1" applyBorder="1" applyAlignment="1" applyProtection="1">
      <alignment vertical="center"/>
      <protection hidden="1"/>
    </xf>
    <xf numFmtId="49" fontId="3" fillId="0" borderId="12" xfId="0" applyNumberFormat="1" applyFont="1" applyFill="1" applyBorder="1" applyAlignment="1" applyProtection="1">
      <alignment vertical="center"/>
      <protection hidden="1"/>
    </xf>
    <xf numFmtId="0" fontId="2" fillId="0" borderId="13" xfId="0" applyNumberFormat="1" applyFont="1" applyFill="1" applyBorder="1" applyAlignment="1" applyProtection="1">
      <alignment vertical="center"/>
      <protection hidden="1"/>
    </xf>
    <xf numFmtId="2" fontId="2" fillId="0" borderId="13" xfId="0" applyNumberFormat="1" applyFont="1" applyFill="1" applyBorder="1" applyAlignment="1" applyProtection="1">
      <alignment vertical="center"/>
      <protection hidden="1"/>
    </xf>
    <xf numFmtId="165" fontId="2" fillId="0" borderId="13" xfId="0" applyNumberFormat="1" applyFont="1" applyFill="1" applyBorder="1" applyAlignment="1" applyProtection="1">
      <alignment vertical="center"/>
      <protection hidden="1"/>
    </xf>
    <xf numFmtId="3" fontId="2" fillId="0" borderId="14" xfId="0" applyNumberFormat="1" applyFont="1" applyFill="1" applyBorder="1" applyAlignment="1" applyProtection="1">
      <alignment vertical="center"/>
      <protection hidden="1"/>
    </xf>
    <xf numFmtId="49" fontId="3" fillId="0" borderId="5" xfId="0" applyNumberFormat="1" applyFont="1" applyBorder="1" applyAlignment="1" applyProtection="1">
      <alignment vertical="center"/>
      <protection hidden="1"/>
    </xf>
    <xf numFmtId="2" fontId="3" fillId="0" borderId="10" xfId="0" applyNumberFormat="1" applyFont="1" applyBorder="1" applyAlignment="1" applyProtection="1">
      <alignment vertical="center"/>
      <protection hidden="1"/>
    </xf>
    <xf numFmtId="0" fontId="2" fillId="0" borderId="9" xfId="0" applyNumberFormat="1" applyFont="1" applyBorder="1" applyAlignment="1" applyProtection="1">
      <alignment vertical="center"/>
      <protection hidden="1"/>
    </xf>
    <xf numFmtId="4" fontId="3" fillId="0" borderId="0" xfId="0" applyNumberFormat="1" applyFont="1" applyAlignment="1" applyProtection="1">
      <alignment vertical="center"/>
      <protection hidden="1"/>
    </xf>
    <xf numFmtId="2" fontId="2" fillId="0" borderId="9" xfId="0" applyNumberFormat="1" applyFont="1" applyBorder="1" applyAlignment="1" applyProtection="1">
      <alignment vertical="center"/>
      <protection hidden="1"/>
    </xf>
    <xf numFmtId="165" fontId="3" fillId="0" borderId="10" xfId="0" applyNumberFormat="1" applyFont="1" applyBorder="1" applyAlignment="1" applyProtection="1">
      <alignment vertical="center"/>
      <protection hidden="1"/>
    </xf>
    <xf numFmtId="165" fontId="2" fillId="0" borderId="9" xfId="0" applyNumberFormat="1" applyFont="1" applyFill="1" applyBorder="1" applyAlignment="1" applyProtection="1">
      <alignment vertical="center"/>
      <protection hidden="1"/>
    </xf>
    <xf numFmtId="3" fontId="2" fillId="0" borderId="5" xfId="0" applyNumberFormat="1" applyFont="1" applyBorder="1" applyAlignment="1" applyProtection="1">
      <alignment vertical="center"/>
      <protection hidden="1"/>
    </xf>
    <xf numFmtId="3" fontId="2" fillId="0" borderId="0" xfId="0" applyNumberFormat="1" applyFont="1" applyFill="1" applyBorder="1" applyAlignment="1" applyProtection="1">
      <alignment vertical="center"/>
      <protection hidden="1"/>
    </xf>
    <xf numFmtId="3" fontId="3" fillId="0" borderId="0" xfId="0" applyNumberFormat="1" applyFont="1" applyAlignment="1" applyProtection="1">
      <alignment vertical="center"/>
      <protection hidden="1"/>
    </xf>
    <xf numFmtId="3" fontId="11" fillId="0" borderId="0" xfId="0" applyNumberFormat="1" applyFont="1" applyAlignment="1" applyProtection="1">
      <alignment vertical="center"/>
      <protection hidden="1"/>
    </xf>
    <xf numFmtId="3" fontId="16" fillId="0" borderId="0" xfId="0" applyNumberFormat="1" applyFont="1" applyAlignment="1" applyProtection="1">
      <alignment vertical="center"/>
      <protection hidden="1"/>
    </xf>
    <xf numFmtId="3" fontId="16" fillId="0" borderId="0" xfId="0" applyNumberFormat="1" applyFont="1" applyAlignment="1" applyProtection="1">
      <alignment vertical="center"/>
      <protection hidden="1"/>
    </xf>
    <xf numFmtId="49" fontId="2" fillId="0" borderId="10" xfId="0" applyNumberFormat="1" applyFont="1" applyFill="1" applyBorder="1" applyAlignment="1" applyProtection="1">
      <alignment vertical="center"/>
      <protection hidden="1"/>
    </xf>
    <xf numFmtId="4" fontId="3" fillId="0" borderId="9" xfId="0" applyNumberFormat="1" applyFont="1" applyBorder="1" applyAlignment="1" applyProtection="1">
      <alignment vertical="center"/>
      <protection hidden="1"/>
    </xf>
    <xf numFmtId="1" fontId="3" fillId="0" borderId="8" xfId="0" applyNumberFormat="1" applyFont="1" applyBorder="1" applyAlignment="1" applyProtection="1">
      <alignment vertical="center"/>
      <protection hidden="1"/>
    </xf>
    <xf numFmtId="2" fontId="3" fillId="0" borderId="6" xfId="0" applyNumberFormat="1" applyFont="1" applyBorder="1" applyAlignment="1" applyProtection="1">
      <alignment vertical="center"/>
      <protection hidden="1"/>
    </xf>
    <xf numFmtId="2" fontId="2" fillId="0" borderId="7" xfId="0" applyNumberFormat="1" applyFont="1" applyBorder="1" applyAlignment="1" applyProtection="1">
      <alignment vertical="center"/>
      <protection hidden="1"/>
    </xf>
    <xf numFmtId="165" fontId="2" fillId="0" borderId="6" xfId="0" applyNumberFormat="1" applyFont="1" applyBorder="1" applyAlignment="1" applyProtection="1">
      <alignment vertical="center"/>
      <protection hidden="1"/>
    </xf>
    <xf numFmtId="165" fontId="2" fillId="0" borderId="7" xfId="0" applyNumberFormat="1" applyFont="1" applyFill="1" applyBorder="1" applyAlignment="1" applyProtection="1">
      <alignment vertical="center"/>
      <protection hidden="1"/>
    </xf>
    <xf numFmtId="3" fontId="2" fillId="0" borderId="8" xfId="0" applyNumberFormat="1" applyFont="1" applyBorder="1" applyAlignment="1" applyProtection="1">
      <alignment vertical="center"/>
      <protection hidden="1"/>
    </xf>
    <xf numFmtId="165" fontId="8" fillId="0" borderId="0" xfId="0" applyNumberFormat="1" applyFont="1" applyAlignment="1" applyProtection="1">
      <alignment vertical="center"/>
      <protection hidden="1"/>
    </xf>
    <xf numFmtId="4" fontId="15" fillId="0" borderId="0" xfId="0" applyNumberFormat="1" applyFont="1" applyAlignment="1" applyProtection="1">
      <alignment horizontal="center" vertical="center"/>
      <protection hidden="1"/>
    </xf>
    <xf numFmtId="4" fontId="0" fillId="0" borderId="0" xfId="0" applyNumberFormat="1" applyFont="1" applyAlignment="1" applyProtection="1">
      <alignment vertical="center"/>
      <protection hidden="1"/>
    </xf>
    <xf numFmtId="49" fontId="3" fillId="0" borderId="10" xfId="0" applyNumberFormat="1" applyFont="1" applyFill="1" applyBorder="1" applyAlignment="1" applyProtection="1">
      <alignment vertical="center"/>
      <protection hidden="1"/>
    </xf>
    <xf numFmtId="49" fontId="7" fillId="0" borderId="5" xfId="0" applyNumberFormat="1" applyFont="1" applyBorder="1" applyAlignment="1" applyProtection="1">
      <alignment vertical="center"/>
      <protection hidden="1"/>
    </xf>
    <xf numFmtId="0" fontId="2" fillId="0" borderId="5" xfId="0" applyNumberFormat="1" applyFont="1" applyBorder="1" applyAlignment="1" applyProtection="1">
      <alignment vertical="center"/>
      <protection hidden="1"/>
    </xf>
    <xf numFmtId="2" fontId="2" fillId="0" borderId="5" xfId="0" applyNumberFormat="1" applyFont="1" applyBorder="1" applyAlignment="1" applyProtection="1">
      <alignment vertical="center"/>
      <protection hidden="1"/>
    </xf>
    <xf numFmtId="165" fontId="2" fillId="0" borderId="5" xfId="0" applyNumberFormat="1" applyFont="1" applyBorder="1" applyAlignment="1" applyProtection="1">
      <alignment vertical="center"/>
      <protection hidden="1"/>
    </xf>
    <xf numFmtId="165" fontId="2" fillId="2" borderId="5" xfId="0" applyNumberFormat="1" applyFont="1" applyFill="1" applyBorder="1" applyAlignment="1" applyProtection="1">
      <alignment vertical="center"/>
      <protection hidden="1"/>
    </xf>
    <xf numFmtId="165" fontId="0" fillId="0" borderId="0" xfId="0" applyNumberFormat="1" applyFont="1" applyAlignment="1" applyProtection="1">
      <alignment vertical="center"/>
      <protection hidden="1"/>
    </xf>
    <xf numFmtId="4" fontId="8" fillId="0" borderId="0" xfId="0" applyNumberFormat="1" applyFont="1" applyAlignment="1" applyProtection="1">
      <alignment horizontal="center" vertical="center"/>
      <protection hidden="1"/>
    </xf>
    <xf numFmtId="49" fontId="3" fillId="0" borderId="8" xfId="0" applyNumberFormat="1" applyFont="1" applyBorder="1" applyAlignment="1" applyProtection="1">
      <alignment vertical="center"/>
      <protection hidden="1"/>
    </xf>
    <xf numFmtId="0" fontId="2" fillId="0" borderId="8" xfId="0" applyNumberFormat="1" applyFont="1" applyBorder="1" applyAlignment="1" applyProtection="1">
      <alignment vertical="center"/>
      <protection hidden="1"/>
    </xf>
    <xf numFmtId="2" fontId="2" fillId="0" borderId="8" xfId="0" applyNumberFormat="1" applyFont="1" applyBorder="1" applyAlignment="1" applyProtection="1">
      <alignment vertical="center"/>
      <protection hidden="1"/>
    </xf>
    <xf numFmtId="165" fontId="2" fillId="0" borderId="8" xfId="0" applyNumberFormat="1" applyFont="1" applyBorder="1" applyAlignment="1" applyProtection="1">
      <alignment vertical="center"/>
      <protection hidden="1"/>
    </xf>
    <xf numFmtId="165" fontId="2" fillId="2" borderId="8" xfId="0" applyNumberFormat="1" applyFont="1" applyFill="1" applyBorder="1" applyAlignment="1" applyProtection="1">
      <alignment vertical="center"/>
      <protection hidden="1"/>
    </xf>
    <xf numFmtId="49" fontId="0" fillId="0" borderId="0" xfId="0" applyNumberFormat="1" applyFont="1" applyAlignment="1" applyProtection="1">
      <alignment vertical="center"/>
      <protection hidden="1"/>
    </xf>
    <xf numFmtId="165" fontId="3" fillId="0" borderId="0" xfId="0" applyNumberFormat="1" applyFont="1" applyAlignment="1" applyProtection="1">
      <alignment horizontal="center" vertical="center"/>
      <protection hidden="1"/>
    </xf>
    <xf numFmtId="4" fontId="3" fillId="0" borderId="0" xfId="0" applyNumberFormat="1" applyFont="1" applyAlignment="1" applyProtection="1">
      <alignment vertical="center"/>
      <protection hidden="1"/>
    </xf>
    <xf numFmtId="4" fontId="2" fillId="0" borderId="0" xfId="0" applyNumberFormat="1" applyFont="1" applyAlignment="1" applyProtection="1">
      <alignment horizontal="center" vertical="center"/>
      <protection hidden="1"/>
    </xf>
    <xf numFmtId="4" fontId="15" fillId="0" borderId="0" xfId="0" applyNumberFormat="1" applyFont="1" applyAlignment="1" applyProtection="1">
      <alignment horizontal="left" vertical="center"/>
      <protection hidden="1"/>
    </xf>
    <xf numFmtId="49" fontId="3" fillId="3" borderId="11" xfId="0" applyNumberFormat="1" applyFont="1" applyFill="1" applyBorder="1" applyAlignment="1" applyProtection="1">
      <alignment vertical="center"/>
      <protection hidden="1"/>
    </xf>
    <xf numFmtId="0" fontId="2" fillId="3" borderId="11" xfId="0" applyNumberFormat="1" applyFont="1" applyFill="1" applyBorder="1" applyAlignment="1" applyProtection="1">
      <alignment vertical="center"/>
      <protection hidden="1"/>
    </xf>
    <xf numFmtId="2" fontId="2" fillId="3" borderId="11" xfId="0" applyNumberFormat="1" applyFont="1" applyFill="1" applyBorder="1" applyAlignment="1" applyProtection="1">
      <alignment vertical="center"/>
      <protection hidden="1"/>
    </xf>
    <xf numFmtId="165" fontId="2" fillId="3" borderId="11" xfId="0" applyNumberFormat="1" applyFont="1" applyFill="1" applyBorder="1" applyAlignment="1" applyProtection="1">
      <alignment vertical="center"/>
      <protection hidden="1"/>
    </xf>
    <xf numFmtId="165" fontId="2" fillId="2" borderId="11" xfId="0" applyNumberFormat="1" applyFont="1" applyFill="1" applyBorder="1" applyAlignment="1" applyProtection="1">
      <alignment vertical="center"/>
      <protection hidden="1"/>
    </xf>
    <xf numFmtId="165" fontId="2" fillId="0" borderId="0" xfId="0" applyNumberFormat="1" applyFont="1" applyAlignment="1" applyProtection="1">
      <alignment horizontal="center" vertical="center"/>
      <protection hidden="1"/>
    </xf>
    <xf numFmtId="4" fontId="8" fillId="0" borderId="0" xfId="0" applyNumberFormat="1" applyFont="1" applyAlignment="1" applyProtection="1">
      <alignment vertical="center"/>
      <protection hidden="1"/>
    </xf>
    <xf numFmtId="49" fontId="2" fillId="0" borderId="12" xfId="0" applyNumberFormat="1" applyFont="1" applyBorder="1" applyAlignment="1" applyProtection="1">
      <alignment vertical="center"/>
      <protection hidden="1"/>
    </xf>
    <xf numFmtId="0" fontId="2" fillId="0" borderId="13" xfId="0" applyNumberFormat="1" applyFont="1" applyBorder="1" applyAlignment="1" applyProtection="1">
      <alignment vertical="center"/>
      <protection hidden="1"/>
    </xf>
    <xf numFmtId="2" fontId="2" fillId="0" borderId="13" xfId="0" applyNumberFormat="1" applyFont="1" applyBorder="1" applyAlignment="1" applyProtection="1">
      <alignment vertical="center"/>
      <protection hidden="1"/>
    </xf>
    <xf numFmtId="165" fontId="2" fillId="0" borderId="13" xfId="0" applyNumberFormat="1" applyFont="1" applyBorder="1" applyAlignment="1" applyProtection="1">
      <alignment vertical="center"/>
      <protection hidden="1"/>
    </xf>
    <xf numFmtId="165" fontId="2" fillId="0" borderId="13" xfId="0" applyNumberFormat="1" applyFont="1" applyFill="1" applyBorder="1" applyAlignment="1" applyProtection="1">
      <alignment vertical="center"/>
      <protection hidden="1"/>
    </xf>
    <xf numFmtId="3" fontId="2" fillId="0" borderId="14" xfId="0" applyNumberFormat="1" applyFont="1" applyBorder="1" applyAlignment="1" applyProtection="1">
      <alignment vertical="center"/>
      <protection hidden="1"/>
    </xf>
    <xf numFmtId="3" fontId="15" fillId="0" borderId="0" xfId="0" applyNumberFormat="1" applyFont="1" applyAlignment="1" applyProtection="1">
      <alignment horizontal="center" vertical="center"/>
      <protection hidden="1"/>
    </xf>
    <xf numFmtId="0" fontId="3" fillId="0" borderId="10" xfId="0" applyNumberFormat="1" applyFont="1" applyBorder="1" applyAlignment="1" applyProtection="1">
      <alignment vertical="center"/>
      <protection hidden="1"/>
    </xf>
    <xf numFmtId="165" fontId="2" fillId="0" borderId="0" xfId="0" applyNumberFormat="1" applyFont="1" applyAlignment="1" applyProtection="1">
      <alignment horizontal="center" vertical="center"/>
      <protection hidden="1"/>
    </xf>
    <xf numFmtId="0" fontId="3" fillId="0" borderId="10" xfId="0" applyNumberFormat="1" applyFont="1" applyBorder="1" applyAlignment="1" applyProtection="1">
      <alignment vertical="center"/>
      <protection hidden="1"/>
    </xf>
    <xf numFmtId="0" fontId="2" fillId="0" borderId="9" xfId="0" applyNumberFormat="1" applyFont="1" applyBorder="1" applyAlignment="1" applyProtection="1">
      <alignment vertical="center"/>
      <protection hidden="1"/>
    </xf>
    <xf numFmtId="2" fontId="3" fillId="0" borderId="10" xfId="0" applyNumberFormat="1" applyFont="1" applyBorder="1" applyAlignment="1" applyProtection="1">
      <alignment vertical="center"/>
      <protection hidden="1"/>
    </xf>
    <xf numFmtId="2" fontId="2" fillId="0" borderId="9" xfId="0" applyNumberFormat="1" applyFont="1" applyBorder="1" applyAlignment="1" applyProtection="1">
      <alignment vertical="center"/>
      <protection hidden="1"/>
    </xf>
    <xf numFmtId="165" fontId="3" fillId="0" borderId="10" xfId="0" applyNumberFormat="1" applyFont="1" applyBorder="1" applyAlignment="1" applyProtection="1">
      <alignment vertical="center"/>
      <protection hidden="1"/>
    </xf>
    <xf numFmtId="165" fontId="2" fillId="0" borderId="9" xfId="0" applyNumberFormat="1" applyFont="1" applyFill="1" applyBorder="1" applyAlignment="1" applyProtection="1">
      <alignment vertical="center"/>
      <protection hidden="1"/>
    </xf>
    <xf numFmtId="49" fontId="3" fillId="0" borderId="0" xfId="0" applyNumberFormat="1" applyFont="1" applyAlignment="1" applyProtection="1">
      <alignment vertical="center"/>
      <protection hidden="1"/>
    </xf>
    <xf numFmtId="0" fontId="2" fillId="0" borderId="6" xfId="0" applyNumberFormat="1" applyFont="1" applyBorder="1" applyAlignment="1" applyProtection="1">
      <alignment vertical="center"/>
      <protection hidden="1"/>
    </xf>
    <xf numFmtId="2" fontId="2" fillId="0" borderId="6" xfId="0" applyNumberFormat="1" applyFont="1" applyBorder="1" applyAlignment="1" applyProtection="1">
      <alignment vertical="center"/>
      <protection hidden="1"/>
    </xf>
    <xf numFmtId="173" fontId="2" fillId="0" borderId="0" xfId="0" applyNumberFormat="1" applyFont="1" applyAlignment="1" applyProtection="1">
      <alignment vertical="center"/>
      <protection hidden="1"/>
    </xf>
    <xf numFmtId="4" fontId="2" fillId="0" borderId="0" xfId="0" applyNumberFormat="1" applyFont="1" applyAlignment="1" applyProtection="1">
      <alignment horizontal="center" vertical="center"/>
      <protection hidden="1"/>
    </xf>
    <xf numFmtId="49" fontId="2" fillId="0" borderId="11" xfId="0" applyNumberFormat="1" applyFont="1" applyBorder="1" applyAlignment="1" applyProtection="1">
      <alignment vertical="center"/>
      <protection hidden="1"/>
    </xf>
    <xf numFmtId="4" fontId="2" fillId="0" borderId="11" xfId="0" applyNumberFormat="1" applyFont="1" applyBorder="1" applyAlignment="1" applyProtection="1">
      <alignment vertical="center"/>
      <protection hidden="1"/>
    </xf>
    <xf numFmtId="165" fontId="2" fillId="0" borderId="11" xfId="0" applyNumberFormat="1" applyFont="1" applyBorder="1" applyAlignment="1" applyProtection="1">
      <alignment vertical="center"/>
      <protection hidden="1"/>
    </xf>
    <xf numFmtId="4" fontId="2" fillId="0" borderId="0" xfId="0" applyNumberFormat="1" applyFont="1" applyAlignment="1" applyProtection="1">
      <alignment horizontal="left" vertical="center"/>
      <protection hidden="1"/>
    </xf>
    <xf numFmtId="173" fontId="2" fillId="0" borderId="0" xfId="0" applyNumberFormat="1" applyFont="1" applyAlignment="1" applyProtection="1">
      <alignment horizontal="center" vertical="center"/>
      <protection hidden="1"/>
    </xf>
    <xf numFmtId="4" fontId="2" fillId="3" borderId="11" xfId="0" applyNumberFormat="1" applyFont="1" applyFill="1" applyBorder="1" applyAlignment="1" applyProtection="1">
      <alignment vertical="center"/>
      <protection hidden="1"/>
    </xf>
    <xf numFmtId="4" fontId="2" fillId="3" borderId="11" xfId="0" applyNumberFormat="1" applyFont="1" applyFill="1" applyBorder="1" applyAlignment="1" applyProtection="1">
      <alignment vertical="center"/>
      <protection hidden="1"/>
    </xf>
    <xf numFmtId="4" fontId="11" fillId="0" borderId="0" xfId="0" applyNumberFormat="1" applyFont="1" applyAlignment="1" applyProtection="1">
      <alignment vertical="center"/>
      <protection hidden="1"/>
    </xf>
    <xf numFmtId="4" fontId="3" fillId="0" borderId="0" xfId="0" applyNumberFormat="1" applyFont="1" applyBorder="1" applyAlignment="1" applyProtection="1">
      <alignment horizontal="left" vertical="center"/>
      <protection hidden="1"/>
    </xf>
    <xf numFmtId="4" fontId="2" fillId="0" borderId="13" xfId="0" applyNumberFormat="1" applyFont="1" applyBorder="1" applyAlignment="1" applyProtection="1">
      <alignment vertical="center"/>
      <protection hidden="1"/>
    </xf>
    <xf numFmtId="4" fontId="2" fillId="0" borderId="13" xfId="0" applyNumberFormat="1" applyFont="1" applyBorder="1" applyAlignment="1" applyProtection="1">
      <alignment vertical="center"/>
      <protection hidden="1"/>
    </xf>
    <xf numFmtId="165" fontId="3" fillId="0" borderId="13" xfId="0" applyNumberFormat="1" applyFont="1" applyFill="1" applyBorder="1" applyAlignment="1" applyProtection="1">
      <alignment vertical="center"/>
      <protection hidden="1"/>
    </xf>
    <xf numFmtId="0" fontId="2" fillId="0" borderId="0" xfId="0" applyFont="1" applyAlignment="1" applyProtection="1">
      <alignment vertical="center"/>
      <protection hidden="1"/>
    </xf>
    <xf numFmtId="4" fontId="2" fillId="0" borderId="9" xfId="0" applyNumberFormat="1" applyFont="1" applyBorder="1" applyAlignment="1" applyProtection="1">
      <alignment horizontal="left" vertical="center"/>
      <protection hidden="1"/>
    </xf>
    <xf numFmtId="49" fontId="3" fillId="3" borderId="8" xfId="0" applyNumberFormat="1" applyFont="1" applyFill="1" applyBorder="1" applyAlignment="1" applyProtection="1">
      <alignment vertical="center"/>
      <protection hidden="1"/>
    </xf>
    <xf numFmtId="4" fontId="2" fillId="3" borderId="8" xfId="0" applyNumberFormat="1" applyFont="1" applyFill="1" applyBorder="1" applyAlignment="1" applyProtection="1">
      <alignment vertical="center"/>
      <protection hidden="1"/>
    </xf>
    <xf numFmtId="165" fontId="2" fillId="3" borderId="8" xfId="0" applyNumberFormat="1" applyFont="1" applyFill="1" applyBorder="1" applyAlignment="1" applyProtection="1">
      <alignment vertical="center"/>
      <protection hidden="1"/>
    </xf>
    <xf numFmtId="165" fontId="3" fillId="2" borderId="8" xfId="0" applyNumberFormat="1" applyFont="1" applyFill="1" applyBorder="1" applyAlignment="1" applyProtection="1">
      <alignment vertical="center"/>
      <protection hidden="1"/>
    </xf>
    <xf numFmtId="3" fontId="3" fillId="0" borderId="0" xfId="0" applyNumberFormat="1" applyFont="1" applyFill="1" applyBorder="1" applyAlignment="1" applyProtection="1">
      <alignment vertical="center"/>
      <protection hidden="1"/>
    </xf>
    <xf numFmtId="4" fontId="2" fillId="0" borderId="0" xfId="0" applyNumberFormat="1" applyFont="1" applyBorder="1" applyAlignment="1" applyProtection="1">
      <alignment horizontal="left" vertical="center"/>
      <protection hidden="1"/>
    </xf>
    <xf numFmtId="49" fontId="2" fillId="0" borderId="15" xfId="0" applyNumberFormat="1" applyFont="1" applyBorder="1" applyAlignment="1" applyProtection="1">
      <alignment vertical="center"/>
      <protection hidden="1"/>
    </xf>
    <xf numFmtId="4" fontId="2" fillId="0" borderId="15" xfId="0" applyNumberFormat="1" applyFont="1" applyBorder="1" applyAlignment="1" applyProtection="1">
      <alignment vertical="center"/>
      <protection hidden="1"/>
    </xf>
    <xf numFmtId="165" fontId="2" fillId="0" borderId="15" xfId="0" applyNumberFormat="1" applyFont="1" applyBorder="1" applyAlignment="1" applyProtection="1">
      <alignment vertical="center"/>
      <protection hidden="1"/>
    </xf>
    <xf numFmtId="3" fontId="2" fillId="0" borderId="15" xfId="0" applyNumberFormat="1" applyFont="1" applyFill="1" applyBorder="1" applyAlignment="1" applyProtection="1">
      <alignment vertical="center"/>
      <protection hidden="1"/>
    </xf>
    <xf numFmtId="3" fontId="2" fillId="0" borderId="15" xfId="0" applyNumberFormat="1" applyFont="1" applyBorder="1" applyAlignment="1" applyProtection="1">
      <alignment vertical="center"/>
      <protection hidden="1"/>
    </xf>
    <xf numFmtId="165" fontId="2" fillId="0" borderId="0" xfId="0" applyNumberFormat="1" applyFont="1" applyBorder="1" applyAlignment="1" applyProtection="1">
      <alignment vertical="center"/>
      <protection hidden="1"/>
    </xf>
    <xf numFmtId="165" fontId="3" fillId="0" borderId="0" xfId="0" applyNumberFormat="1" applyFont="1" applyFill="1" applyBorder="1" applyAlignment="1" applyProtection="1">
      <alignment vertical="center"/>
      <protection hidden="1"/>
    </xf>
    <xf numFmtId="3" fontId="2" fillId="0" borderId="0" xfId="0" applyNumberFormat="1" applyFont="1" applyBorder="1" applyAlignment="1" applyProtection="1">
      <alignment vertical="center"/>
      <protection hidden="1"/>
    </xf>
    <xf numFmtId="49" fontId="2" fillId="0" borderId="0" xfId="0" applyNumberFormat="1" applyFont="1" applyBorder="1" applyAlignment="1" applyProtection="1">
      <alignment vertical="center"/>
      <protection hidden="1"/>
    </xf>
    <xf numFmtId="3" fontId="34" fillId="0" borderId="0" xfId="0" applyNumberFormat="1" applyFont="1" applyFill="1" applyBorder="1" applyAlignment="1" applyProtection="1">
      <alignment horizontal="center" vertical="center"/>
      <protection hidden="1"/>
    </xf>
    <xf numFmtId="4" fontId="2" fillId="0" borderId="0" xfId="0" applyNumberFormat="1" applyFont="1" applyFill="1" applyAlignment="1" applyProtection="1">
      <alignment vertical="center"/>
      <protection hidden="1"/>
    </xf>
    <xf numFmtId="3" fontId="15" fillId="0" borderId="0" xfId="0" applyNumberFormat="1" applyFont="1" applyAlignment="1" applyProtection="1">
      <alignment vertical="center"/>
      <protection hidden="1"/>
    </xf>
    <xf numFmtId="49" fontId="2" fillId="0" borderId="10" xfId="0" applyNumberFormat="1" applyFont="1" applyBorder="1" applyAlignment="1" applyProtection="1">
      <alignment vertical="center"/>
      <protection hidden="1"/>
    </xf>
    <xf numFmtId="4" fontId="2" fillId="0" borderId="1" xfId="0" applyNumberFormat="1" applyFont="1" applyBorder="1" applyAlignment="1" applyProtection="1">
      <alignment vertical="center"/>
      <protection hidden="1"/>
    </xf>
    <xf numFmtId="4" fontId="3" fillId="0" borderId="1" xfId="0" applyNumberFormat="1" applyFont="1" applyBorder="1" applyAlignment="1" applyProtection="1">
      <alignment vertical="center"/>
      <protection hidden="1"/>
    </xf>
    <xf numFmtId="3" fontId="3" fillId="0" borderId="1" xfId="0" applyNumberFormat="1" applyFont="1" applyBorder="1" applyAlignment="1" applyProtection="1">
      <alignment vertical="center"/>
      <protection hidden="1"/>
    </xf>
    <xf numFmtId="4" fontId="3" fillId="0" borderId="0" xfId="0" applyNumberFormat="1" applyFont="1" applyAlignment="1" applyProtection="1">
      <alignment horizontal="center" vertical="center"/>
      <protection hidden="1"/>
    </xf>
    <xf numFmtId="3" fontId="2" fillId="0" borderId="1" xfId="0" applyNumberFormat="1" applyFont="1" applyBorder="1" applyAlignment="1" applyProtection="1">
      <alignment vertical="center"/>
      <protection hidden="1"/>
    </xf>
    <xf numFmtId="0" fontId="2" fillId="0" borderId="0" xfId="0" applyFont="1" applyAlignment="1" applyProtection="1">
      <alignment/>
      <protection hidden="1"/>
    </xf>
    <xf numFmtId="4" fontId="2" fillId="0" borderId="10" xfId="0" applyNumberFormat="1" applyFont="1" applyBorder="1" applyAlignment="1" applyProtection="1">
      <alignment vertical="center"/>
      <protection hidden="1"/>
    </xf>
    <xf numFmtId="4" fontId="2" fillId="0" borderId="1" xfId="0" applyNumberFormat="1" applyFont="1" applyBorder="1" applyAlignment="1" applyProtection="1">
      <alignment vertical="center"/>
      <protection hidden="1"/>
    </xf>
    <xf numFmtId="173" fontId="2" fillId="0" borderId="1" xfId="0" applyNumberFormat="1" applyFont="1" applyBorder="1" applyAlignment="1" applyProtection="1">
      <alignment vertical="center"/>
      <protection hidden="1"/>
    </xf>
    <xf numFmtId="4" fontId="2" fillId="0" borderId="0" xfId="0" applyNumberFormat="1" applyFont="1" applyFill="1" applyBorder="1" applyAlignment="1" applyProtection="1">
      <alignment vertical="center"/>
      <protection hidden="1"/>
    </xf>
    <xf numFmtId="173" fontId="2" fillId="0" borderId="0" xfId="0" applyNumberFormat="1" applyFont="1" applyAlignment="1" applyProtection="1">
      <alignment vertical="center"/>
      <protection hidden="1"/>
    </xf>
    <xf numFmtId="0" fontId="2" fillId="0" borderId="0" xfId="0" applyNumberFormat="1" applyFont="1" applyBorder="1" applyAlignment="1" applyProtection="1">
      <alignment horizontal="left" vertical="center"/>
      <protection hidden="1"/>
    </xf>
    <xf numFmtId="3" fontId="2" fillId="0" borderId="0" xfId="0" applyNumberFormat="1" applyFont="1" applyBorder="1" applyAlignment="1" applyProtection="1">
      <alignment horizontal="left" vertical="center"/>
      <protection hidden="1"/>
    </xf>
    <xf numFmtId="4" fontId="2" fillId="0" borderId="0" xfId="0" applyNumberFormat="1" applyFont="1" applyBorder="1" applyAlignment="1" applyProtection="1">
      <alignment vertical="center"/>
      <protection hidden="1"/>
    </xf>
    <xf numFmtId="49" fontId="2" fillId="0" borderId="1" xfId="0" applyNumberFormat="1" applyFont="1" applyBorder="1" applyAlignment="1" applyProtection="1">
      <alignment vertical="center"/>
      <protection hidden="1"/>
    </xf>
    <xf numFmtId="165" fontId="2" fillId="0" borderId="1" xfId="0" applyNumberFormat="1" applyFont="1" applyBorder="1" applyAlignment="1" applyProtection="1">
      <alignment vertical="center"/>
      <protection hidden="1"/>
    </xf>
    <xf numFmtId="3" fontId="2" fillId="0" borderId="1" xfId="0" applyNumberFormat="1" applyFont="1" applyFill="1" applyBorder="1" applyAlignment="1" applyProtection="1">
      <alignment vertical="center"/>
      <protection hidden="1"/>
    </xf>
    <xf numFmtId="3" fontId="2" fillId="0" borderId="1" xfId="0" applyNumberFormat="1" applyFont="1" applyBorder="1" applyAlignment="1" applyProtection="1">
      <alignment vertical="center"/>
      <protection hidden="1"/>
    </xf>
    <xf numFmtId="4" fontId="0" fillId="0" borderId="0" xfId="0" applyNumberFormat="1" applyFont="1" applyAlignment="1" applyProtection="1">
      <alignment vertical="center"/>
      <protection hidden="1"/>
    </xf>
    <xf numFmtId="49" fontId="3" fillId="0" borderId="12" xfId="0" applyNumberFormat="1" applyFont="1" applyBorder="1" applyAlignment="1" applyProtection="1">
      <alignment vertical="center"/>
      <protection hidden="1"/>
    </xf>
    <xf numFmtId="165" fontId="2" fillId="0" borderId="7" xfId="0" applyNumberFormat="1" applyFont="1" applyBorder="1" applyAlignment="1" applyProtection="1">
      <alignment vertical="center"/>
      <protection hidden="1"/>
    </xf>
    <xf numFmtId="165" fontId="2" fillId="0" borderId="8" xfId="0" applyNumberFormat="1" applyFont="1" applyFill="1" applyBorder="1" applyAlignment="1" applyProtection="1">
      <alignment horizontal="center" vertical="center"/>
      <protection hidden="1"/>
    </xf>
    <xf numFmtId="4" fontId="1" fillId="0" borderId="0" xfId="0" applyNumberFormat="1" applyFont="1" applyAlignment="1" applyProtection="1">
      <alignment vertical="center"/>
      <protection hidden="1"/>
    </xf>
    <xf numFmtId="4" fontId="0" fillId="0" borderId="0" xfId="0" applyNumberFormat="1" applyFont="1" applyAlignment="1" applyProtection="1">
      <alignment horizontal="center" vertical="center"/>
      <protection hidden="1"/>
    </xf>
    <xf numFmtId="4" fontId="2" fillId="0" borderId="3" xfId="0" applyNumberFormat="1" applyFont="1" applyBorder="1" applyAlignment="1" applyProtection="1">
      <alignment vertical="center"/>
      <protection hidden="1"/>
    </xf>
    <xf numFmtId="4" fontId="3" fillId="0" borderId="15" xfId="0" applyNumberFormat="1" applyFont="1" applyBorder="1" applyAlignment="1" applyProtection="1">
      <alignment vertical="center"/>
      <protection hidden="1"/>
    </xf>
    <xf numFmtId="165" fontId="2" fillId="0" borderId="2" xfId="0" applyNumberFormat="1" applyFont="1" applyBorder="1" applyAlignment="1" applyProtection="1">
      <alignment horizontal="center" vertical="center"/>
      <protection hidden="1"/>
    </xf>
    <xf numFmtId="165" fontId="2" fillId="4" borderId="9" xfId="0" applyNumberFormat="1" applyFont="1" applyFill="1" applyBorder="1" applyAlignment="1" applyProtection="1">
      <alignment horizontal="center" vertical="center"/>
      <protection hidden="1"/>
    </xf>
    <xf numFmtId="3" fontId="2" fillId="0" borderId="2" xfId="0" applyNumberFormat="1" applyFont="1" applyBorder="1" applyAlignment="1" applyProtection="1">
      <alignment horizontal="center" vertical="center"/>
      <protection hidden="1"/>
    </xf>
    <xf numFmtId="3" fontId="2" fillId="0" borderId="0" xfId="0" applyNumberFormat="1" applyFont="1" applyFill="1" applyBorder="1" applyAlignment="1" applyProtection="1">
      <alignment horizontal="center" vertical="center"/>
      <protection hidden="1"/>
    </xf>
    <xf numFmtId="4" fontId="3" fillId="0" borderId="8" xfId="0" applyNumberFormat="1" applyFont="1" applyBorder="1" applyAlignment="1" applyProtection="1">
      <alignment horizontal="center" vertical="center"/>
      <protection hidden="1"/>
    </xf>
    <xf numFmtId="4" fontId="3" fillId="0" borderId="1" xfId="0" applyNumberFormat="1" applyFont="1" applyBorder="1" applyAlignment="1" applyProtection="1">
      <alignment vertical="center"/>
      <protection hidden="1"/>
    </xf>
    <xf numFmtId="4" fontId="2" fillId="0" borderId="7" xfId="0" applyNumberFormat="1" applyFont="1" applyBorder="1" applyAlignment="1" applyProtection="1">
      <alignment horizontal="center" vertical="center"/>
      <protection hidden="1"/>
    </xf>
    <xf numFmtId="165" fontId="2" fillId="0" borderId="8" xfId="0" applyNumberFormat="1" applyFont="1" applyBorder="1" applyAlignment="1" applyProtection="1">
      <alignment horizontal="center" vertical="center"/>
      <protection hidden="1"/>
    </xf>
    <xf numFmtId="165" fontId="2" fillId="4" borderId="7" xfId="0" applyNumberFormat="1" applyFont="1" applyFill="1" applyBorder="1" applyAlignment="1" applyProtection="1">
      <alignment horizontal="center" vertical="center"/>
      <protection hidden="1"/>
    </xf>
    <xf numFmtId="3" fontId="2" fillId="0" borderId="8" xfId="0" applyNumberFormat="1" applyFont="1" applyBorder="1" applyAlignment="1" applyProtection="1">
      <alignment horizontal="center" vertical="center"/>
      <protection hidden="1"/>
    </xf>
    <xf numFmtId="3" fontId="2" fillId="0" borderId="0" xfId="0" applyNumberFormat="1" applyFont="1" applyFill="1" applyBorder="1" applyAlignment="1" applyProtection="1">
      <alignment horizontal="center" vertical="center"/>
      <protection hidden="1"/>
    </xf>
    <xf numFmtId="3" fontId="2" fillId="0" borderId="9" xfId="0" applyNumberFormat="1" applyFont="1" applyBorder="1" applyAlignment="1" applyProtection="1">
      <alignment horizontal="left" vertical="center"/>
      <protection hidden="1"/>
    </xf>
    <xf numFmtId="49" fontId="2" fillId="0" borderId="5" xfId="0" applyNumberFormat="1" applyFont="1" applyBorder="1" applyAlignment="1" applyProtection="1">
      <alignment vertical="center"/>
      <protection hidden="1"/>
    </xf>
    <xf numFmtId="4" fontId="2" fillId="0" borderId="5" xfId="0" applyNumberFormat="1" applyFont="1" applyBorder="1" applyAlignment="1" applyProtection="1">
      <alignment vertical="center"/>
      <protection hidden="1"/>
    </xf>
    <xf numFmtId="49" fontId="2" fillId="0" borderId="4" xfId="0" applyNumberFormat="1" applyFont="1" applyBorder="1" applyAlignment="1" applyProtection="1">
      <alignment horizontal="center" vertical="center"/>
      <protection hidden="1"/>
    </xf>
    <xf numFmtId="165" fontId="2" fillId="0" borderId="9" xfId="0" applyNumberFormat="1" applyFont="1" applyBorder="1" applyAlignment="1" applyProtection="1">
      <alignment vertical="center"/>
      <protection hidden="1"/>
    </xf>
    <xf numFmtId="3" fontId="2" fillId="4" borderId="5" xfId="0" applyNumberFormat="1" applyFont="1" applyFill="1" applyBorder="1" applyAlignment="1" applyProtection="1">
      <alignment vertical="center"/>
      <protection hidden="1"/>
    </xf>
    <xf numFmtId="4" fontId="3" fillId="0" borderId="5" xfId="0" applyNumberFormat="1" applyFont="1" applyBorder="1" applyAlignment="1" applyProtection="1">
      <alignment vertical="center"/>
      <protection hidden="1"/>
    </xf>
    <xf numFmtId="49" fontId="2" fillId="0" borderId="9" xfId="0" applyNumberFormat="1" applyFont="1" applyBorder="1" applyAlignment="1" applyProtection="1">
      <alignment vertical="center"/>
      <protection hidden="1"/>
    </xf>
    <xf numFmtId="4" fontId="2" fillId="4" borderId="5" xfId="0" applyNumberFormat="1" applyFont="1" applyFill="1" applyBorder="1" applyAlignment="1" applyProtection="1">
      <alignment vertical="center"/>
      <protection hidden="1"/>
    </xf>
    <xf numFmtId="2" fontId="8" fillId="0" borderId="0" xfId="0" applyNumberFormat="1" applyFont="1" applyAlignment="1" applyProtection="1">
      <alignment horizontal="left" vertical="center"/>
      <protection hidden="1"/>
    </xf>
    <xf numFmtId="4" fontId="8" fillId="0" borderId="0" xfId="0" applyNumberFormat="1" applyFont="1" applyAlignment="1" applyProtection="1">
      <alignment horizontal="left" vertical="center"/>
      <protection hidden="1"/>
    </xf>
    <xf numFmtId="4" fontId="3" fillId="2" borderId="0" xfId="0" applyNumberFormat="1" applyFont="1" applyFill="1" applyAlignment="1" applyProtection="1">
      <alignment vertical="center"/>
      <protection hidden="1"/>
    </xf>
    <xf numFmtId="4" fontId="2" fillId="2" borderId="0" xfId="0" applyNumberFormat="1" applyFont="1" applyFill="1" applyAlignment="1" applyProtection="1">
      <alignment horizontal="center" vertical="center"/>
      <protection hidden="1"/>
    </xf>
    <xf numFmtId="49" fontId="2" fillId="0" borderId="9" xfId="0" applyNumberFormat="1" applyFont="1" applyBorder="1" applyAlignment="1" applyProtection="1">
      <alignment horizontal="center" vertical="center"/>
      <protection hidden="1"/>
    </xf>
    <xf numFmtId="4" fontId="14" fillId="0" borderId="0" xfId="0" applyNumberFormat="1" applyFont="1" applyAlignment="1" applyProtection="1">
      <alignment horizontal="center" vertical="center"/>
      <protection hidden="1"/>
    </xf>
    <xf numFmtId="4" fontId="2" fillId="0" borderId="5" xfId="0" applyNumberFormat="1" applyFont="1" applyBorder="1" applyAlignment="1" applyProtection="1">
      <alignment horizontal="right" vertical="center"/>
      <protection hidden="1"/>
    </xf>
    <xf numFmtId="4" fontId="2" fillId="0" borderId="5" xfId="0" applyNumberFormat="1" applyFont="1" applyBorder="1" applyAlignment="1" applyProtection="1">
      <alignment horizontal="right" vertical="center"/>
      <protection hidden="1"/>
    </xf>
    <xf numFmtId="49" fontId="3" fillId="0" borderId="5" xfId="0" applyNumberFormat="1" applyFont="1" applyFill="1" applyBorder="1" applyAlignment="1" applyProtection="1">
      <alignment vertical="center"/>
      <protection hidden="1"/>
    </xf>
    <xf numFmtId="4" fontId="2" fillId="0" borderId="5" xfId="0" applyNumberFormat="1" applyFont="1" applyFill="1" applyBorder="1" applyAlignment="1" applyProtection="1">
      <alignment horizontal="right" vertical="center"/>
      <protection hidden="1"/>
    </xf>
    <xf numFmtId="165" fontId="8" fillId="0" borderId="0" xfId="0" applyNumberFormat="1" applyFont="1" applyAlignment="1" applyProtection="1">
      <alignment vertical="center"/>
      <protection hidden="1"/>
    </xf>
    <xf numFmtId="3" fontId="8" fillId="0" borderId="0" xfId="0" applyNumberFormat="1" applyFont="1" applyAlignment="1" applyProtection="1">
      <alignment vertical="center"/>
      <protection hidden="1"/>
    </xf>
    <xf numFmtId="4" fontId="8" fillId="0" borderId="9" xfId="0" applyNumberFormat="1" applyFont="1" applyBorder="1" applyAlignment="1" applyProtection="1">
      <alignment horizontal="left" vertical="center"/>
      <protection hidden="1"/>
    </xf>
    <xf numFmtId="3" fontId="8" fillId="0" borderId="5" xfId="0" applyNumberFormat="1" applyFont="1" applyBorder="1" applyAlignment="1" applyProtection="1">
      <alignment vertical="center"/>
      <protection hidden="1"/>
    </xf>
    <xf numFmtId="4" fontId="1" fillId="0" borderId="0" xfId="0" applyNumberFormat="1" applyFont="1" applyAlignment="1" applyProtection="1">
      <alignment vertical="center"/>
      <protection hidden="1"/>
    </xf>
    <xf numFmtId="3" fontId="0" fillId="0" borderId="0" xfId="0" applyNumberFormat="1" applyFont="1" applyAlignment="1" applyProtection="1">
      <alignment vertical="center"/>
      <protection hidden="1"/>
    </xf>
    <xf numFmtId="3" fontId="1" fillId="0" borderId="0" xfId="0" applyNumberFormat="1" applyFont="1" applyAlignment="1" applyProtection="1">
      <alignment vertical="center"/>
      <protection hidden="1"/>
    </xf>
    <xf numFmtId="3" fontId="29" fillId="2" borderId="11" xfId="0" applyNumberFormat="1" applyFont="1" applyFill="1" applyBorder="1" applyAlignment="1" applyProtection="1">
      <alignment vertical="center"/>
      <protection hidden="1"/>
    </xf>
    <xf numFmtId="49" fontId="11" fillId="0" borderId="5" xfId="0" applyNumberFormat="1" applyFont="1" applyBorder="1" applyAlignment="1" applyProtection="1">
      <alignment vertical="center"/>
      <protection hidden="1"/>
    </xf>
    <xf numFmtId="4" fontId="8" fillId="0" borderId="5" xfId="0" applyNumberFormat="1" applyFont="1" applyBorder="1" applyAlignment="1" applyProtection="1">
      <alignment horizontal="right" vertical="center"/>
      <protection hidden="1"/>
    </xf>
    <xf numFmtId="4" fontId="8" fillId="0" borderId="0" xfId="0" applyNumberFormat="1" applyFont="1" applyBorder="1" applyAlignment="1" applyProtection="1">
      <alignment vertical="center"/>
      <protection hidden="1"/>
    </xf>
    <xf numFmtId="49" fontId="8" fillId="0" borderId="9" xfId="0" applyNumberFormat="1" applyFont="1" applyBorder="1" applyAlignment="1" applyProtection="1">
      <alignment horizontal="center" vertical="center"/>
      <protection hidden="1"/>
    </xf>
    <xf numFmtId="165" fontId="8" fillId="0" borderId="9" xfId="0" applyNumberFormat="1" applyFont="1" applyBorder="1" applyAlignment="1" applyProtection="1">
      <alignment vertical="center"/>
      <protection hidden="1"/>
    </xf>
    <xf numFmtId="49" fontId="8" fillId="0" borderId="5" xfId="0" applyNumberFormat="1" applyFont="1" applyBorder="1" applyAlignment="1" applyProtection="1">
      <alignment vertical="center"/>
      <protection hidden="1"/>
    </xf>
    <xf numFmtId="3" fontId="11" fillId="0" borderId="5" xfId="0" applyNumberFormat="1" applyFont="1" applyBorder="1" applyAlignment="1" applyProtection="1">
      <alignment vertical="center"/>
      <protection hidden="1"/>
    </xf>
    <xf numFmtId="3" fontId="2" fillId="2" borderId="0" xfId="0" applyNumberFormat="1" applyFont="1" applyFill="1" applyAlignment="1" applyProtection="1">
      <alignment vertical="center"/>
      <protection hidden="1"/>
    </xf>
    <xf numFmtId="4" fontId="11" fillId="0" borderId="9" xfId="0" applyNumberFormat="1" applyFont="1" applyBorder="1" applyAlignment="1" applyProtection="1">
      <alignment horizontal="left" vertical="center"/>
      <protection hidden="1"/>
    </xf>
    <xf numFmtId="49" fontId="2" fillId="0" borderId="0" xfId="0" applyNumberFormat="1" applyFont="1" applyBorder="1" applyAlignment="1" applyProtection="1">
      <alignment horizontal="right" vertical="center"/>
      <protection hidden="1"/>
    </xf>
    <xf numFmtId="4" fontId="8" fillId="0" borderId="5" xfId="0" applyNumberFormat="1" applyFont="1" applyBorder="1" applyAlignment="1" applyProtection="1">
      <alignment vertical="center"/>
      <protection hidden="1"/>
    </xf>
    <xf numFmtId="4" fontId="8" fillId="4" borderId="10" xfId="0" applyNumberFormat="1" applyFont="1" applyFill="1" applyBorder="1" applyAlignment="1" applyProtection="1">
      <alignment vertical="center"/>
      <protection hidden="1"/>
    </xf>
    <xf numFmtId="3" fontId="16" fillId="2" borderId="0" xfId="0" applyNumberFormat="1" applyFont="1" applyFill="1" applyAlignment="1" applyProtection="1">
      <alignment vertical="center"/>
      <protection hidden="1"/>
    </xf>
    <xf numFmtId="3" fontId="3" fillId="0" borderId="0" xfId="0" applyNumberFormat="1" applyFont="1" applyAlignment="1" applyProtection="1">
      <alignment vertical="center"/>
      <protection hidden="1"/>
    </xf>
    <xf numFmtId="3" fontId="29" fillId="2" borderId="0" xfId="0" applyNumberFormat="1" applyFont="1" applyFill="1" applyAlignment="1" applyProtection="1">
      <alignment vertical="center"/>
      <protection hidden="1"/>
    </xf>
    <xf numFmtId="4" fontId="2" fillId="0" borderId="0" xfId="0" applyNumberFormat="1" applyFont="1" applyAlignment="1" applyProtection="1">
      <alignment vertical="center" wrapText="1"/>
      <protection hidden="1"/>
    </xf>
    <xf numFmtId="4" fontId="2" fillId="0" borderId="0" xfId="0" applyNumberFormat="1" applyFont="1" applyBorder="1" applyAlignment="1" applyProtection="1">
      <alignment horizontal="left" vertical="center" wrapText="1"/>
      <protection hidden="1"/>
    </xf>
    <xf numFmtId="0" fontId="2" fillId="0" borderId="0" xfId="0" applyNumberFormat="1" applyFont="1" applyBorder="1" applyAlignment="1" applyProtection="1">
      <alignment vertical="center"/>
      <protection hidden="1"/>
    </xf>
    <xf numFmtId="4" fontId="2" fillId="0" borderId="0" xfId="0" applyNumberFormat="1" applyFont="1" applyAlignment="1" applyProtection="1">
      <alignment vertical="center" wrapText="1"/>
      <protection hidden="1"/>
    </xf>
    <xf numFmtId="4" fontId="2" fillId="0" borderId="0" xfId="0" applyNumberFormat="1" applyFont="1" applyFill="1" applyBorder="1" applyAlignment="1" applyProtection="1">
      <alignment vertical="center" wrapText="1"/>
      <protection hidden="1"/>
    </xf>
    <xf numFmtId="4" fontId="2" fillId="0" borderId="1" xfId="0" applyNumberFormat="1" applyFont="1" applyBorder="1" applyAlignment="1" applyProtection="1">
      <alignment horizontal="center" vertical="center"/>
      <protection hidden="1"/>
    </xf>
    <xf numFmtId="4" fontId="2" fillId="2" borderId="1" xfId="0" applyNumberFormat="1" applyFont="1" applyFill="1" applyBorder="1" applyAlignment="1" applyProtection="1">
      <alignment horizontal="center" vertical="center"/>
      <protection hidden="1"/>
    </xf>
    <xf numFmtId="4" fontId="15" fillId="2" borderId="0" xfId="0" applyNumberFormat="1" applyFont="1" applyFill="1" applyAlignment="1" applyProtection="1">
      <alignment vertical="center"/>
      <protection hidden="1"/>
    </xf>
    <xf numFmtId="4" fontId="8" fillId="0" borderId="0" xfId="0" applyNumberFormat="1" applyFont="1" applyBorder="1" applyAlignment="1" applyProtection="1">
      <alignment vertical="center"/>
      <protection hidden="1"/>
    </xf>
    <xf numFmtId="4" fontId="2" fillId="0" borderId="0" xfId="0" applyNumberFormat="1" applyFont="1" applyBorder="1" applyAlignment="1" applyProtection="1">
      <alignment vertical="center" wrapText="1"/>
      <protection hidden="1"/>
    </xf>
    <xf numFmtId="49" fontId="2" fillId="0" borderId="6" xfId="0" applyNumberFormat="1" applyFont="1" applyBorder="1" applyAlignment="1" applyProtection="1">
      <alignment vertical="center"/>
      <protection hidden="1"/>
    </xf>
    <xf numFmtId="0" fontId="2" fillId="0" borderId="1" xfId="0" applyNumberFormat="1" applyFont="1" applyBorder="1" applyAlignment="1" applyProtection="1">
      <alignment vertical="center"/>
      <protection hidden="1"/>
    </xf>
    <xf numFmtId="0" fontId="0" fillId="0" borderId="3" xfId="0" applyBorder="1" applyAlignment="1" applyProtection="1">
      <alignment vertical="center"/>
      <protection hidden="1"/>
    </xf>
    <xf numFmtId="0" fontId="0" fillId="0" borderId="15" xfId="0" applyBorder="1" applyAlignment="1" applyProtection="1">
      <alignment vertical="center"/>
      <protection hidden="1"/>
    </xf>
    <xf numFmtId="0" fontId="0" fillId="0" borderId="4" xfId="0" applyBorder="1" applyAlignment="1" applyProtection="1">
      <alignment vertical="center"/>
      <protection hidden="1"/>
    </xf>
    <xf numFmtId="0" fontId="0" fillId="5" borderId="10" xfId="0" applyFill="1" applyBorder="1" applyAlignment="1" applyProtection="1">
      <alignment vertical="center"/>
      <protection hidden="1"/>
    </xf>
    <xf numFmtId="0" fontId="0" fillId="5" borderId="0" xfId="0" applyFill="1" applyBorder="1" applyAlignment="1" applyProtection="1">
      <alignment vertical="center"/>
      <protection hidden="1"/>
    </xf>
    <xf numFmtId="0" fontId="43" fillId="5" borderId="0" xfId="0" applyFont="1" applyFill="1" applyBorder="1" applyAlignment="1" applyProtection="1">
      <alignment horizontal="center" vertical="center"/>
      <protection hidden="1"/>
    </xf>
    <xf numFmtId="0" fontId="44" fillId="5" borderId="0" xfId="0" applyFont="1" applyFill="1" applyBorder="1" applyAlignment="1" applyProtection="1">
      <alignment horizontal="center" vertical="center"/>
      <protection hidden="1"/>
    </xf>
    <xf numFmtId="0" fontId="0" fillId="0" borderId="9" xfId="0" applyBorder="1" applyAlignment="1" applyProtection="1">
      <alignment vertical="center"/>
      <protection hidden="1"/>
    </xf>
    <xf numFmtId="0" fontId="0" fillId="0" borderId="10" xfId="0" applyFill="1" applyBorder="1" applyAlignment="1" applyProtection="1">
      <alignment vertical="center"/>
      <protection hidden="1"/>
    </xf>
    <xf numFmtId="0" fontId="0" fillId="0" borderId="0" xfId="0" applyFill="1" applyBorder="1" applyAlignment="1" applyProtection="1">
      <alignment vertical="center"/>
      <protection hidden="1"/>
    </xf>
    <xf numFmtId="0" fontId="10" fillId="0" borderId="0" xfId="0" applyFont="1" applyFill="1" applyBorder="1" applyAlignment="1" applyProtection="1">
      <alignment vertical="center"/>
      <protection hidden="1"/>
    </xf>
    <xf numFmtId="0" fontId="0" fillId="0" borderId="9" xfId="0" applyFill="1" applyBorder="1" applyAlignment="1" applyProtection="1">
      <alignment vertical="center"/>
      <protection hidden="1"/>
    </xf>
    <xf numFmtId="0" fontId="0" fillId="6" borderId="10" xfId="0" applyFill="1" applyBorder="1" applyAlignment="1" applyProtection="1">
      <alignment vertical="center"/>
      <protection hidden="1"/>
    </xf>
    <xf numFmtId="0" fontId="0" fillId="6" borderId="0" xfId="0" applyFill="1" applyBorder="1" applyAlignment="1" applyProtection="1">
      <alignment vertical="center"/>
      <protection hidden="1"/>
    </xf>
    <xf numFmtId="0" fontId="10" fillId="6" borderId="0" xfId="0" applyFont="1" applyFill="1" applyBorder="1" applyAlignment="1" applyProtection="1">
      <alignment vertical="center"/>
      <protection hidden="1"/>
    </xf>
    <xf numFmtId="0" fontId="0" fillId="6" borderId="9" xfId="0" applyFill="1" applyBorder="1" applyAlignment="1" applyProtection="1">
      <alignment vertical="center"/>
      <protection hidden="1"/>
    </xf>
    <xf numFmtId="0" fontId="39" fillId="5" borderId="0" xfId="0" applyFont="1" applyFill="1" applyBorder="1" applyAlignment="1" applyProtection="1">
      <alignment vertical="center"/>
      <protection hidden="1"/>
    </xf>
    <xf numFmtId="49" fontId="0" fillId="0" borderId="0" xfId="0" applyNumberFormat="1" applyFill="1" applyBorder="1" applyAlignment="1" applyProtection="1">
      <alignment vertical="center"/>
      <protection hidden="1"/>
    </xf>
    <xf numFmtId="0" fontId="0" fillId="5" borderId="0" xfId="0" applyFont="1" applyFill="1" applyBorder="1" applyAlignment="1" applyProtection="1">
      <alignment horizontal="left" vertical="center"/>
      <protection hidden="1"/>
    </xf>
    <xf numFmtId="4" fontId="0" fillId="0" borderId="0" xfId="0" applyNumberFormat="1" applyFill="1" applyBorder="1" applyAlignment="1" applyProtection="1">
      <alignment vertical="center"/>
      <protection hidden="1"/>
    </xf>
    <xf numFmtId="0" fontId="10" fillId="5" borderId="0" xfId="0" applyFont="1" applyFill="1" applyBorder="1" applyAlignment="1" applyProtection="1">
      <alignment horizontal="left" vertical="center"/>
      <protection hidden="1"/>
    </xf>
    <xf numFmtId="0" fontId="1" fillId="5" borderId="0" xfId="0" applyFont="1" applyFill="1" applyBorder="1" applyAlignment="1" applyProtection="1">
      <alignment horizontal="right" vertical="center"/>
      <protection hidden="1"/>
    </xf>
    <xf numFmtId="0" fontId="1" fillId="5" borderId="0" xfId="0" applyFont="1" applyFill="1" applyBorder="1" applyAlignment="1" applyProtection="1">
      <alignment horizontal="center" vertical="center"/>
      <protection hidden="1"/>
    </xf>
    <xf numFmtId="0" fontId="40" fillId="5" borderId="0" xfId="0" applyFont="1" applyFill="1" applyBorder="1" applyAlignment="1" applyProtection="1">
      <alignment vertical="center"/>
      <protection hidden="1"/>
    </xf>
    <xf numFmtId="49" fontId="34" fillId="5" borderId="12" xfId="0" applyNumberFormat="1" applyFont="1" applyFill="1" applyBorder="1" applyAlignment="1" applyProtection="1">
      <alignment horizontal="center" vertical="center"/>
      <protection hidden="1"/>
    </xf>
    <xf numFmtId="0" fontId="0" fillId="5" borderId="14" xfId="0" applyFill="1" applyBorder="1" applyAlignment="1" applyProtection="1">
      <alignment vertical="center"/>
      <protection hidden="1"/>
    </xf>
    <xf numFmtId="0" fontId="33" fillId="5" borderId="13" xfId="0" applyFont="1" applyFill="1" applyBorder="1" applyAlignment="1" applyProtection="1">
      <alignment vertical="center"/>
      <protection hidden="1"/>
    </xf>
    <xf numFmtId="0" fontId="0" fillId="5" borderId="13" xfId="0" applyFill="1" applyBorder="1" applyAlignment="1" applyProtection="1">
      <alignment vertical="center"/>
      <protection hidden="1"/>
    </xf>
    <xf numFmtId="0" fontId="33" fillId="5" borderId="13" xfId="0" applyFont="1" applyFill="1" applyBorder="1" applyAlignment="1" applyProtection="1">
      <alignment horizontal="right" vertical="center"/>
      <protection hidden="1"/>
    </xf>
    <xf numFmtId="0" fontId="33" fillId="5" borderId="13" xfId="0" applyFont="1" applyFill="1" applyBorder="1" applyAlignment="1" applyProtection="1">
      <alignment horizontal="center" vertical="center"/>
      <protection hidden="1"/>
    </xf>
    <xf numFmtId="0" fontId="42" fillId="5" borderId="11" xfId="0" applyNumberFormat="1" applyFont="1" applyFill="1" applyBorder="1" applyAlignment="1" applyProtection="1">
      <alignment horizontal="center" vertical="center"/>
      <protection hidden="1"/>
    </xf>
    <xf numFmtId="0" fontId="34" fillId="5" borderId="12" xfId="0" applyFont="1" applyFill="1" applyBorder="1" applyAlignment="1" applyProtection="1">
      <alignment horizontal="center" vertical="center"/>
      <protection hidden="1"/>
    </xf>
    <xf numFmtId="0" fontId="38" fillId="5" borderId="11" xfId="0" applyNumberFormat="1" applyFont="1" applyFill="1" applyBorder="1" applyAlignment="1" applyProtection="1">
      <alignment horizontal="center" vertical="center"/>
      <protection hidden="1"/>
    </xf>
    <xf numFmtId="0" fontId="34" fillId="5" borderId="12" xfId="0" applyFont="1" applyFill="1" applyBorder="1" applyAlignment="1" applyProtection="1">
      <alignment horizontal="left" vertical="center"/>
      <protection hidden="1"/>
    </xf>
    <xf numFmtId="0" fontId="41" fillId="5" borderId="0" xfId="0" applyFont="1" applyFill="1" applyBorder="1" applyAlignment="1" applyProtection="1">
      <alignment vertical="center"/>
      <protection hidden="1"/>
    </xf>
    <xf numFmtId="0" fontId="0" fillId="0" borderId="0" xfId="0" applyFill="1" applyAlignment="1" applyProtection="1">
      <alignment vertical="center"/>
      <protection hidden="1"/>
    </xf>
    <xf numFmtId="0" fontId="1" fillId="5" borderId="0" xfId="0" applyFont="1" applyFill="1" applyBorder="1" applyAlignment="1" applyProtection="1">
      <alignment vertical="center"/>
      <protection hidden="1"/>
    </xf>
    <xf numFmtId="1" fontId="42" fillId="2" borderId="0" xfId="0" applyNumberFormat="1" applyFont="1" applyFill="1" applyBorder="1" applyAlignment="1" applyProtection="1">
      <alignment horizontal="center" vertical="center"/>
      <protection hidden="1"/>
    </xf>
    <xf numFmtId="0" fontId="2" fillId="5" borderId="0" xfId="0" applyFont="1" applyFill="1" applyBorder="1" applyAlignment="1" applyProtection="1">
      <alignment vertical="center"/>
      <protection hidden="1"/>
    </xf>
    <xf numFmtId="0" fontId="0" fillId="6" borderId="6" xfId="0" applyFill="1" applyBorder="1" applyAlignment="1" applyProtection="1">
      <alignment vertical="center"/>
      <protection hidden="1"/>
    </xf>
    <xf numFmtId="0" fontId="0" fillId="6" borderId="1" xfId="0" applyFill="1" applyBorder="1" applyAlignment="1" applyProtection="1">
      <alignment vertical="center"/>
      <protection hidden="1"/>
    </xf>
    <xf numFmtId="0" fontId="0" fillId="5" borderId="3" xfId="0" applyFill="1" applyBorder="1" applyAlignment="1" applyProtection="1">
      <alignment vertical="center"/>
      <protection hidden="1"/>
    </xf>
    <xf numFmtId="0" fontId="0" fillId="5" borderId="15" xfId="0" applyFill="1" applyBorder="1" applyAlignment="1" applyProtection="1">
      <alignment vertical="center"/>
      <protection hidden="1"/>
    </xf>
    <xf numFmtId="0" fontId="0" fillId="5" borderId="4" xfId="0" applyFill="1" applyBorder="1" applyAlignment="1" applyProtection="1">
      <alignment vertical="center"/>
      <protection hidden="1"/>
    </xf>
    <xf numFmtId="0" fontId="0" fillId="5" borderId="9" xfId="0" applyFill="1" applyBorder="1" applyAlignment="1" applyProtection="1">
      <alignment vertical="center"/>
      <protection hidden="1"/>
    </xf>
    <xf numFmtId="4" fontId="0" fillId="7" borderId="10" xfId="0" applyNumberFormat="1" applyFill="1" applyBorder="1" applyAlignment="1" applyProtection="1">
      <alignment vertical="center"/>
      <protection hidden="1"/>
    </xf>
    <xf numFmtId="0" fontId="0" fillId="7" borderId="0" xfId="0" applyFill="1" applyBorder="1" applyAlignment="1" applyProtection="1">
      <alignment vertical="center"/>
      <protection hidden="1"/>
    </xf>
    <xf numFmtId="0" fontId="0" fillId="7" borderId="9" xfId="0" applyFill="1" applyBorder="1" applyAlignment="1" applyProtection="1">
      <alignment vertical="center"/>
      <protection hidden="1"/>
    </xf>
    <xf numFmtId="0" fontId="0" fillId="7" borderId="10" xfId="0" applyFill="1" applyBorder="1" applyAlignment="1" applyProtection="1">
      <alignment vertical="center"/>
      <protection hidden="1"/>
    </xf>
    <xf numFmtId="0" fontId="0" fillId="5" borderId="6" xfId="0" applyFill="1" applyBorder="1" applyAlignment="1" applyProtection="1">
      <alignment vertical="center"/>
      <protection hidden="1"/>
    </xf>
    <xf numFmtId="0" fontId="0" fillId="5" borderId="1" xfId="0" applyFill="1" applyBorder="1" applyAlignment="1" applyProtection="1">
      <alignment vertical="center"/>
      <protection hidden="1"/>
    </xf>
    <xf numFmtId="0" fontId="0" fillId="5" borderId="7" xfId="0" applyFill="1" applyBorder="1" applyAlignment="1" applyProtection="1">
      <alignment vertical="center"/>
      <protection hidden="1"/>
    </xf>
    <xf numFmtId="0" fontId="0" fillId="0" borderId="7" xfId="0" applyBorder="1" applyAlignment="1" applyProtection="1">
      <alignment vertical="center"/>
      <protection hidden="1"/>
    </xf>
    <xf numFmtId="49" fontId="0" fillId="0" borderId="9" xfId="0" applyNumberFormat="1" applyFill="1" applyBorder="1" applyAlignment="1" applyProtection="1">
      <alignment vertical="center"/>
      <protection hidden="1"/>
    </xf>
    <xf numFmtId="49" fontId="0" fillId="0" borderId="9" xfId="0" applyNumberFormat="1" applyBorder="1" applyAlignment="1" applyProtection="1">
      <alignment vertical="center"/>
      <protection hidden="1"/>
    </xf>
    <xf numFmtId="0" fontId="0" fillId="5" borderId="0" xfId="0" applyFill="1" applyAlignment="1" applyProtection="1">
      <alignment vertical="center"/>
      <protection hidden="1"/>
    </xf>
    <xf numFmtId="0" fontId="2" fillId="5" borderId="0" xfId="0" applyFont="1" applyFill="1" applyAlignment="1" applyProtection="1">
      <alignment vertical="center"/>
      <protection hidden="1"/>
    </xf>
    <xf numFmtId="49" fontId="56" fillId="0" borderId="0" xfId="0" applyNumberFormat="1" applyFont="1" applyAlignment="1" applyProtection="1">
      <alignment vertical="center"/>
      <protection hidden="1"/>
    </xf>
    <xf numFmtId="0" fontId="47" fillId="5" borderId="10" xfId="0" applyFont="1" applyFill="1" applyBorder="1" applyAlignment="1" applyProtection="1">
      <alignment vertical="center"/>
      <protection hidden="1"/>
    </xf>
    <xf numFmtId="0" fontId="35" fillId="5" borderId="10" xfId="0" applyFont="1" applyFill="1" applyBorder="1" applyAlignment="1" applyProtection="1">
      <alignment vertical="center"/>
      <protection hidden="1"/>
    </xf>
    <xf numFmtId="0" fontId="32" fillId="6" borderId="10" xfId="0" applyFont="1" applyFill="1" applyBorder="1" applyAlignment="1" applyProtection="1">
      <alignment vertical="center"/>
      <protection hidden="1"/>
    </xf>
    <xf numFmtId="0" fontId="32" fillId="6" borderId="0" xfId="0" applyFont="1" applyFill="1" applyBorder="1" applyAlignment="1" applyProtection="1">
      <alignment vertical="center"/>
      <protection hidden="1"/>
    </xf>
    <xf numFmtId="0" fontId="32" fillId="6" borderId="9" xfId="0" applyFont="1" applyFill="1" applyBorder="1" applyAlignment="1" applyProtection="1">
      <alignment vertical="center"/>
      <protection hidden="1"/>
    </xf>
    <xf numFmtId="0" fontId="32" fillId="0" borderId="0" xfId="0" applyFont="1" applyAlignment="1" applyProtection="1">
      <alignment vertical="center"/>
      <protection hidden="1"/>
    </xf>
    <xf numFmtId="0" fontId="1" fillId="5" borderId="10" xfId="0" applyFont="1" applyFill="1" applyBorder="1" applyAlignment="1" applyProtection="1">
      <alignment vertical="center"/>
      <protection hidden="1"/>
    </xf>
    <xf numFmtId="0" fontId="3" fillId="5" borderId="0" xfId="0" applyFont="1" applyFill="1" applyBorder="1" applyAlignment="1" applyProtection="1">
      <alignment vertical="center"/>
      <protection hidden="1"/>
    </xf>
    <xf numFmtId="0" fontId="1" fillId="0" borderId="0" xfId="0" applyFont="1" applyBorder="1" applyAlignment="1" applyProtection="1">
      <alignment vertical="center"/>
      <protection hidden="1"/>
    </xf>
    <xf numFmtId="0" fontId="1" fillId="0" borderId="9" xfId="0" applyFont="1" applyBorder="1" applyAlignment="1" applyProtection="1">
      <alignment vertical="center"/>
      <protection hidden="1"/>
    </xf>
    <xf numFmtId="0" fontId="0" fillId="0" borderId="0" xfId="0" applyBorder="1" applyAlignment="1" applyProtection="1">
      <alignment vertical="center"/>
      <protection hidden="1"/>
    </xf>
    <xf numFmtId="0" fontId="39" fillId="5" borderId="10" xfId="0" applyFont="1" applyFill="1" applyBorder="1" applyAlignment="1" applyProtection="1">
      <alignment vertical="center"/>
      <protection hidden="1"/>
    </xf>
    <xf numFmtId="0" fontId="0" fillId="5" borderId="0" xfId="0" applyFont="1" applyFill="1" applyBorder="1" applyAlignment="1" applyProtection="1">
      <alignment vertical="center"/>
      <protection hidden="1"/>
    </xf>
    <xf numFmtId="0" fontId="0" fillId="0" borderId="0" xfId="0" applyFont="1" applyBorder="1" applyAlignment="1" applyProtection="1">
      <alignment vertical="center"/>
      <protection hidden="1"/>
    </xf>
    <xf numFmtId="0" fontId="0" fillId="0" borderId="9" xfId="0" applyFont="1" applyBorder="1" applyAlignment="1" applyProtection="1">
      <alignment vertical="center"/>
      <protection hidden="1"/>
    </xf>
    <xf numFmtId="0" fontId="0" fillId="0" borderId="0" xfId="0" applyFont="1" applyAlignment="1" applyProtection="1">
      <alignment vertical="center"/>
      <protection hidden="1"/>
    </xf>
    <xf numFmtId="0" fontId="0" fillId="5" borderId="10" xfId="0" applyFont="1" applyFill="1" applyBorder="1" applyAlignment="1" applyProtection="1">
      <alignment vertical="center"/>
      <protection hidden="1"/>
    </xf>
    <xf numFmtId="0" fontId="2" fillId="5" borderId="0" xfId="0" applyFont="1" applyFill="1" applyBorder="1" applyAlignment="1" applyProtection="1">
      <alignment horizontal="center" vertical="center"/>
      <protection hidden="1"/>
    </xf>
    <xf numFmtId="0" fontId="0" fillId="5" borderId="0" xfId="0" applyFont="1" applyFill="1" applyBorder="1" applyAlignment="1" applyProtection="1">
      <alignment horizontal="center" vertical="center"/>
      <protection hidden="1"/>
    </xf>
    <xf numFmtId="49" fontId="0" fillId="5" borderId="10" xfId="0" applyNumberFormat="1" applyFont="1" applyFill="1" applyBorder="1" applyAlignment="1" applyProtection="1">
      <alignment vertical="center"/>
      <protection hidden="1"/>
    </xf>
    <xf numFmtId="1" fontId="0" fillId="5" borderId="0" xfId="0" applyNumberFormat="1" applyFont="1" applyFill="1" applyBorder="1" applyAlignment="1" applyProtection="1">
      <alignment horizontal="center" vertical="center"/>
      <protection hidden="1"/>
    </xf>
    <xf numFmtId="4" fontId="0" fillId="5" borderId="0" xfId="0" applyNumberFormat="1" applyFont="1" applyFill="1" applyBorder="1" applyAlignment="1" applyProtection="1">
      <alignment horizontal="center" vertical="center"/>
      <protection hidden="1"/>
    </xf>
    <xf numFmtId="49" fontId="1" fillId="5" borderId="10" xfId="0" applyNumberFormat="1" applyFont="1" applyFill="1" applyBorder="1" applyAlignment="1" applyProtection="1">
      <alignment vertical="center"/>
      <protection hidden="1"/>
    </xf>
    <xf numFmtId="164" fontId="0" fillId="5" borderId="0" xfId="0" applyNumberFormat="1" applyFont="1" applyFill="1" applyBorder="1" applyAlignment="1" applyProtection="1">
      <alignment horizontal="center" vertical="center"/>
      <protection hidden="1"/>
    </xf>
    <xf numFmtId="4" fontId="0" fillId="5" borderId="10" xfId="0" applyNumberFormat="1" applyFont="1" applyFill="1" applyBorder="1" applyAlignment="1" applyProtection="1">
      <alignment vertical="center"/>
      <protection hidden="1"/>
    </xf>
    <xf numFmtId="4" fontId="0" fillId="5" borderId="0" xfId="0" applyNumberFormat="1" applyFont="1" applyFill="1" applyBorder="1" applyAlignment="1" applyProtection="1">
      <alignment vertical="center"/>
      <protection hidden="1"/>
    </xf>
    <xf numFmtId="3" fontId="0" fillId="5" borderId="0" xfId="0" applyNumberFormat="1" applyFont="1" applyFill="1" applyBorder="1" applyAlignment="1" applyProtection="1">
      <alignment horizontal="center" vertical="center"/>
      <protection hidden="1"/>
    </xf>
    <xf numFmtId="4" fontId="2" fillId="5" borderId="0" xfId="0" applyNumberFormat="1" applyFont="1" applyFill="1" applyBorder="1" applyAlignment="1" applyProtection="1">
      <alignment horizontal="left" vertical="center"/>
      <protection hidden="1"/>
    </xf>
    <xf numFmtId="4" fontId="32" fillId="6" borderId="0" xfId="0" applyNumberFormat="1" applyFont="1" applyFill="1" applyBorder="1" applyAlignment="1" applyProtection="1">
      <alignment vertical="center"/>
      <protection hidden="1"/>
    </xf>
    <xf numFmtId="3" fontId="0" fillId="5" borderId="0" xfId="0" applyNumberFormat="1" applyFill="1" applyBorder="1" applyAlignment="1" applyProtection="1">
      <alignment horizontal="center" vertical="center"/>
      <protection hidden="1"/>
    </xf>
    <xf numFmtId="4" fontId="2" fillId="5" borderId="0" xfId="0" applyNumberFormat="1" applyFont="1" applyFill="1" applyBorder="1" applyAlignment="1" applyProtection="1">
      <alignment horizontal="center" vertical="center"/>
      <protection hidden="1"/>
    </xf>
    <xf numFmtId="166" fontId="0" fillId="0" borderId="0" xfId="0" applyNumberFormat="1" applyFill="1" applyBorder="1" applyAlignment="1" applyProtection="1">
      <alignment horizontal="center" vertical="center"/>
      <protection hidden="1"/>
    </xf>
    <xf numFmtId="0" fontId="32" fillId="6" borderId="0" xfId="0" applyFont="1" applyFill="1" applyBorder="1" applyAlignment="1" applyProtection="1">
      <alignment horizontal="center" vertical="center"/>
      <protection hidden="1"/>
    </xf>
    <xf numFmtId="0" fontId="2" fillId="5" borderId="0" xfId="0" applyFont="1" applyFill="1" applyBorder="1" applyAlignment="1" applyProtection="1">
      <alignment horizontal="left" vertical="center"/>
      <protection hidden="1"/>
    </xf>
    <xf numFmtId="0" fontId="2" fillId="5" borderId="1" xfId="0" applyFont="1" applyFill="1" applyBorder="1" applyAlignment="1" applyProtection="1">
      <alignment horizontal="center" vertical="center"/>
      <protection hidden="1"/>
    </xf>
    <xf numFmtId="0" fontId="0" fillId="5" borderId="0" xfId="0" applyFill="1" applyBorder="1" applyAlignment="1" applyProtection="1">
      <alignment horizontal="center" vertical="center"/>
      <protection hidden="1"/>
    </xf>
    <xf numFmtId="0" fontId="0" fillId="0" borderId="10" xfId="0" applyBorder="1" applyAlignment="1" applyProtection="1">
      <alignment vertical="center"/>
      <protection hidden="1"/>
    </xf>
    <xf numFmtId="0" fontId="32" fillId="0" borderId="10" xfId="0" applyFont="1" applyFill="1" applyBorder="1" applyAlignment="1" applyProtection="1">
      <alignment vertical="center"/>
      <protection hidden="1"/>
    </xf>
    <xf numFmtId="0" fontId="32" fillId="0" borderId="0" xfId="0" applyFont="1" applyFill="1" applyBorder="1" applyAlignment="1" applyProtection="1">
      <alignment vertical="center"/>
      <protection hidden="1"/>
    </xf>
    <xf numFmtId="0" fontId="32" fillId="0" borderId="9" xfId="0" applyFont="1" applyFill="1" applyBorder="1" applyAlignment="1" applyProtection="1">
      <alignment vertical="center"/>
      <protection hidden="1"/>
    </xf>
    <xf numFmtId="0" fontId="32" fillId="0" borderId="0" xfId="0" applyFont="1" applyFill="1" applyAlignment="1" applyProtection="1">
      <alignment vertical="center"/>
      <protection hidden="1"/>
    </xf>
    <xf numFmtId="3" fontId="0" fillId="5" borderId="0" xfId="0" applyNumberFormat="1" applyFill="1" applyBorder="1" applyAlignment="1" applyProtection="1">
      <alignment horizontal="right" vertical="center"/>
      <protection hidden="1"/>
    </xf>
    <xf numFmtId="3" fontId="0" fillId="0" borderId="0" xfId="0" applyNumberFormat="1" applyFill="1" applyBorder="1" applyAlignment="1" applyProtection="1">
      <alignment horizontal="right" vertical="center"/>
      <protection hidden="1"/>
    </xf>
    <xf numFmtId="0" fontId="1" fillId="5" borderId="6" xfId="0" applyFont="1" applyFill="1" applyBorder="1" applyAlignment="1" applyProtection="1">
      <alignment vertical="center"/>
      <protection hidden="1"/>
    </xf>
    <xf numFmtId="0" fontId="2" fillId="5" borderId="1" xfId="0" applyFont="1" applyFill="1" applyBorder="1" applyAlignment="1" applyProtection="1">
      <alignment vertical="center"/>
      <protection hidden="1"/>
    </xf>
    <xf numFmtId="3" fontId="42" fillId="0" borderId="0" xfId="0" applyNumberFormat="1" applyFont="1" applyFill="1" applyBorder="1" applyAlignment="1" applyProtection="1">
      <alignment horizontal="right" vertical="center"/>
      <protection hidden="1"/>
    </xf>
    <xf numFmtId="0" fontId="0" fillId="0" borderId="1" xfId="0" applyBorder="1" applyAlignment="1" applyProtection="1">
      <alignment vertical="center"/>
      <protection hidden="1"/>
    </xf>
    <xf numFmtId="1" fontId="32" fillId="5" borderId="1" xfId="0" applyNumberFormat="1" applyFont="1" applyFill="1" applyBorder="1" applyAlignment="1" applyProtection="1">
      <alignment horizontal="center" vertical="center"/>
      <protection hidden="1"/>
    </xf>
    <xf numFmtId="0" fontId="10" fillId="5" borderId="1" xfId="0" applyFont="1" applyFill="1" applyBorder="1" applyAlignment="1" applyProtection="1">
      <alignment vertical="center"/>
      <protection hidden="1"/>
    </xf>
    <xf numFmtId="1" fontId="32" fillId="5" borderId="0" xfId="0" applyNumberFormat="1" applyFont="1" applyFill="1" applyBorder="1" applyAlignment="1" applyProtection="1">
      <alignment horizontal="center" vertical="center"/>
      <protection hidden="1"/>
    </xf>
    <xf numFmtId="0" fontId="10" fillId="5" borderId="0" xfId="0" applyFont="1" applyFill="1" applyBorder="1" applyAlignment="1" applyProtection="1">
      <alignment vertical="center"/>
      <protection hidden="1"/>
    </xf>
    <xf numFmtId="0" fontId="2" fillId="2" borderId="11" xfId="0"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2" fillId="0" borderId="1" xfId="0" applyFont="1" applyBorder="1" applyAlignment="1" applyProtection="1">
      <alignment horizontal="center" vertical="center"/>
      <protection hidden="1"/>
    </xf>
    <xf numFmtId="4" fontId="0" fillId="0" borderId="0" xfId="0" applyNumberFormat="1" applyFont="1" applyFill="1" applyAlignment="1" applyProtection="1">
      <alignment vertical="center"/>
      <protection hidden="1"/>
    </xf>
    <xf numFmtId="0" fontId="2" fillId="2" borderId="0" xfId="0" applyFont="1" applyFill="1" applyAlignment="1" applyProtection="1">
      <alignment vertical="center"/>
      <protection hidden="1"/>
    </xf>
    <xf numFmtId="49" fontId="2" fillId="0" borderId="5" xfId="0" applyNumberFormat="1" applyFont="1" applyBorder="1" applyAlignment="1" applyProtection="1">
      <alignment horizontal="center" vertical="center"/>
      <protection hidden="1"/>
    </xf>
    <xf numFmtId="49" fontId="3" fillId="0" borderId="8" xfId="0" applyNumberFormat="1" applyFont="1" applyBorder="1" applyAlignment="1" applyProtection="1">
      <alignment horizontal="center" vertical="center"/>
      <protection hidden="1"/>
    </xf>
    <xf numFmtId="49" fontId="6" fillId="0" borderId="5" xfId="0" applyNumberFormat="1" applyFont="1" applyBorder="1" applyAlignment="1" applyProtection="1">
      <alignment vertical="center"/>
      <protection hidden="1"/>
    </xf>
    <xf numFmtId="4" fontId="2" fillId="0" borderId="8" xfId="0" applyNumberFormat="1" applyFont="1" applyBorder="1" applyAlignment="1" applyProtection="1">
      <alignment vertical="center"/>
      <protection hidden="1"/>
    </xf>
    <xf numFmtId="49" fontId="3" fillId="0" borderId="12" xfId="0" applyNumberFormat="1" applyFont="1" applyFill="1" applyBorder="1" applyAlignment="1" applyProtection="1">
      <alignment vertical="center"/>
      <protection hidden="1"/>
    </xf>
    <xf numFmtId="3" fontId="2" fillId="0" borderId="0" xfId="0" applyNumberFormat="1" applyFont="1" applyFill="1" applyAlignment="1" applyProtection="1">
      <alignment vertical="center"/>
      <protection hidden="1"/>
    </xf>
    <xf numFmtId="49" fontId="7" fillId="0" borderId="2" xfId="0" applyNumberFormat="1" applyFont="1" applyBorder="1" applyAlignment="1" applyProtection="1">
      <alignment vertical="center"/>
      <protection hidden="1"/>
    </xf>
    <xf numFmtId="165" fontId="2" fillId="0" borderId="2" xfId="0" applyNumberFormat="1" applyFont="1" applyBorder="1" applyAlignment="1" applyProtection="1">
      <alignment vertical="center"/>
      <protection hidden="1"/>
    </xf>
    <xf numFmtId="165" fontId="2" fillId="2" borderId="2" xfId="0" applyNumberFormat="1" applyFont="1" applyFill="1" applyBorder="1" applyAlignment="1" applyProtection="1">
      <alignment vertical="center"/>
      <protection hidden="1"/>
    </xf>
    <xf numFmtId="49" fontId="3" fillId="0" borderId="0" xfId="0" applyNumberFormat="1" applyFont="1" applyBorder="1" applyAlignment="1" applyProtection="1">
      <alignment vertical="center"/>
      <protection hidden="1"/>
    </xf>
    <xf numFmtId="49" fontId="0" fillId="0" borderId="1" xfId="0" applyNumberFormat="1" applyFont="1" applyBorder="1" applyAlignment="1" applyProtection="1">
      <alignment vertical="center"/>
      <protection hidden="1"/>
    </xf>
    <xf numFmtId="4" fontId="3" fillId="0" borderId="5" xfId="0" applyNumberFormat="1" applyFont="1" applyBorder="1" applyAlignment="1" applyProtection="1">
      <alignment vertical="center"/>
      <protection hidden="1"/>
    </xf>
    <xf numFmtId="0" fontId="1" fillId="2" borderId="0" xfId="0" applyFont="1" applyFill="1" applyAlignment="1" applyProtection="1">
      <alignment vertical="center"/>
      <protection hidden="1"/>
    </xf>
    <xf numFmtId="49" fontId="2" fillId="0" borderId="0" xfId="0" applyNumberFormat="1" applyFont="1" applyAlignment="1" applyProtection="1">
      <alignment vertical="center"/>
      <protection hidden="1"/>
    </xf>
    <xf numFmtId="4" fontId="2" fillId="0" borderId="5" xfId="0" applyNumberFormat="1" applyFont="1" applyFill="1" applyBorder="1" applyAlignment="1" applyProtection="1">
      <alignment vertical="center"/>
      <protection hidden="1"/>
    </xf>
    <xf numFmtId="49" fontId="2" fillId="0" borderId="0" xfId="0" applyNumberFormat="1" applyFont="1" applyBorder="1" applyAlignment="1" applyProtection="1">
      <alignment horizontal="center" vertical="center"/>
      <protection hidden="1"/>
    </xf>
    <xf numFmtId="49" fontId="0" fillId="0" borderId="6" xfId="0" applyNumberFormat="1" applyFont="1" applyBorder="1" applyAlignment="1" applyProtection="1">
      <alignment vertical="center"/>
      <protection hidden="1"/>
    </xf>
    <xf numFmtId="0" fontId="0" fillId="0" borderId="0" xfId="0" applyFont="1" applyAlignment="1" applyProtection="1">
      <alignment vertical="center"/>
      <protection hidden="1"/>
    </xf>
    <xf numFmtId="49" fontId="1" fillId="0" borderId="3" xfId="0" applyNumberFormat="1" applyFont="1" applyBorder="1" applyAlignment="1" applyProtection="1">
      <alignment vertical="center"/>
      <protection hidden="1"/>
    </xf>
    <xf numFmtId="49" fontId="1" fillId="0" borderId="15" xfId="0" applyNumberFormat="1" applyFont="1" applyBorder="1" applyAlignment="1" applyProtection="1">
      <alignment vertical="center"/>
      <protection hidden="1"/>
    </xf>
    <xf numFmtId="0" fontId="0" fillId="0" borderId="15" xfId="0" applyFont="1" applyBorder="1" applyAlignment="1" applyProtection="1">
      <alignment vertical="center"/>
      <protection hidden="1"/>
    </xf>
    <xf numFmtId="0" fontId="0" fillId="0" borderId="4" xfId="0" applyFont="1" applyBorder="1" applyAlignment="1" applyProtection="1">
      <alignment vertical="center"/>
      <protection hidden="1"/>
    </xf>
    <xf numFmtId="49" fontId="31" fillId="2" borderId="3" xfId="0" applyNumberFormat="1" applyFont="1" applyFill="1" applyBorder="1" applyAlignment="1" applyProtection="1">
      <alignment vertical="center"/>
      <protection hidden="1"/>
    </xf>
    <xf numFmtId="0" fontId="55" fillId="2" borderId="15" xfId="0" applyFont="1" applyFill="1" applyBorder="1" applyAlignment="1" applyProtection="1">
      <alignment vertical="center"/>
      <protection hidden="1"/>
    </xf>
    <xf numFmtId="0" fontId="55" fillId="2" borderId="4" xfId="0" applyFont="1" applyFill="1" applyBorder="1" applyAlignment="1" applyProtection="1">
      <alignment vertical="center"/>
      <protection hidden="1"/>
    </xf>
    <xf numFmtId="0" fontId="2" fillId="0" borderId="1" xfId="0" applyFont="1" applyBorder="1" applyAlignment="1" applyProtection="1">
      <alignment vertical="center"/>
      <protection hidden="1"/>
    </xf>
    <xf numFmtId="0" fontId="2" fillId="0" borderId="7" xfId="0" applyFont="1" applyBorder="1" applyAlignment="1" applyProtection="1">
      <alignment vertical="center"/>
      <protection hidden="1"/>
    </xf>
    <xf numFmtId="0" fontId="2" fillId="0" borderId="9" xfId="0" applyFont="1" applyBorder="1" applyAlignment="1" applyProtection="1">
      <alignment horizontal="center" vertical="center"/>
      <protection hidden="1"/>
    </xf>
    <xf numFmtId="0" fontId="16" fillId="2" borderId="11" xfId="0" applyFont="1" applyFill="1" applyBorder="1" applyAlignment="1" applyProtection="1">
      <alignment horizontal="center" vertical="center"/>
      <protection hidden="1"/>
    </xf>
    <xf numFmtId="0" fontId="11" fillId="2" borderId="14" xfId="0" applyFont="1" applyFill="1" applyBorder="1" applyAlignment="1" applyProtection="1">
      <alignment horizontal="center" vertical="center"/>
      <protection hidden="1"/>
    </xf>
    <xf numFmtId="0" fontId="2" fillId="0" borderId="7" xfId="0" applyFont="1" applyBorder="1" applyAlignment="1" applyProtection="1">
      <alignment horizontal="center" vertical="center"/>
      <protection hidden="1"/>
    </xf>
    <xf numFmtId="0" fontId="0" fillId="0" borderId="15" xfId="0" applyFont="1" applyBorder="1" applyAlignment="1" applyProtection="1">
      <alignment horizontal="center" vertical="center"/>
      <protection hidden="1"/>
    </xf>
    <xf numFmtId="0" fontId="0" fillId="0" borderId="4" xfId="0" applyFont="1" applyBorder="1" applyAlignment="1" applyProtection="1">
      <alignment horizontal="center" vertical="center"/>
      <protection hidden="1"/>
    </xf>
    <xf numFmtId="0" fontId="2" fillId="0" borderId="10" xfId="0" applyFont="1" applyBorder="1" applyAlignment="1" applyProtection="1">
      <alignment vertical="center"/>
      <protection hidden="1"/>
    </xf>
    <xf numFmtId="0" fontId="10" fillId="0" borderId="0" xfId="0" applyFont="1" applyBorder="1" applyAlignment="1" applyProtection="1">
      <alignment horizontal="center" vertical="center"/>
      <protection hidden="1"/>
    </xf>
    <xf numFmtId="0" fontId="10" fillId="0" borderId="9" xfId="0" applyFont="1" applyBorder="1" applyAlignment="1" applyProtection="1">
      <alignment horizontal="center" vertical="center"/>
      <protection hidden="1"/>
    </xf>
    <xf numFmtId="164" fontId="2" fillId="2" borderId="14" xfId="0" applyNumberFormat="1" applyFont="1" applyFill="1" applyBorder="1" applyAlignment="1" applyProtection="1">
      <alignment horizontal="center" vertical="center"/>
      <protection hidden="1"/>
    </xf>
    <xf numFmtId="164" fontId="2" fillId="2" borderId="11" xfId="0" applyNumberFormat="1" applyFont="1" applyFill="1" applyBorder="1" applyAlignment="1" applyProtection="1">
      <alignment horizontal="center" vertical="center"/>
      <protection hidden="1"/>
    </xf>
    <xf numFmtId="0" fontId="0" fillId="0" borderId="0" xfId="0" applyFont="1" applyAlignment="1" applyProtection="1">
      <alignment vertical="center"/>
      <protection hidden="1"/>
    </xf>
    <xf numFmtId="49" fontId="1" fillId="0" borderId="10" xfId="0" applyNumberFormat="1" applyFont="1" applyBorder="1" applyAlignment="1" applyProtection="1">
      <alignment vertical="center"/>
      <protection hidden="1"/>
    </xf>
    <xf numFmtId="0" fontId="0" fillId="0" borderId="0" xfId="0" applyFont="1" applyBorder="1" applyAlignment="1" applyProtection="1">
      <alignment horizontal="center" vertical="center"/>
      <protection hidden="1"/>
    </xf>
    <xf numFmtId="0" fontId="0" fillId="0" borderId="9" xfId="0" applyFont="1" applyBorder="1" applyAlignment="1" applyProtection="1">
      <alignment horizontal="center" vertical="center"/>
      <protection hidden="1"/>
    </xf>
    <xf numFmtId="49" fontId="3" fillId="0" borderId="6" xfId="0" applyNumberFormat="1" applyFont="1" applyBorder="1" applyAlignment="1" applyProtection="1">
      <alignment vertical="center"/>
      <protection hidden="1"/>
    </xf>
    <xf numFmtId="0" fontId="16" fillId="0" borderId="1" xfId="0" applyFont="1" applyFill="1" applyBorder="1" applyAlignment="1" applyProtection="1">
      <alignment horizontal="center" vertical="center"/>
      <protection hidden="1"/>
    </xf>
    <xf numFmtId="0" fontId="11" fillId="0" borderId="1" xfId="0" applyFont="1" applyFill="1" applyBorder="1" applyAlignment="1" applyProtection="1">
      <alignment horizontal="center" vertical="center"/>
      <protection hidden="1"/>
    </xf>
    <xf numFmtId="0" fontId="2" fillId="0" borderId="9" xfId="0" applyFont="1" applyBorder="1" applyAlignment="1" applyProtection="1">
      <alignment vertical="center"/>
      <protection hidden="1"/>
    </xf>
    <xf numFmtId="0" fontId="2" fillId="0" borderId="15" xfId="0" applyFont="1" applyBorder="1" applyAlignment="1" applyProtection="1">
      <alignment horizontal="center" vertical="center"/>
      <protection hidden="1"/>
    </xf>
    <xf numFmtId="49" fontId="1" fillId="0" borderId="10" xfId="0" applyNumberFormat="1" applyFont="1" applyBorder="1" applyAlignment="1" applyProtection="1">
      <alignment vertical="center"/>
      <protection hidden="1"/>
    </xf>
    <xf numFmtId="49" fontId="7" fillId="0" borderId="0" xfId="0" applyNumberFormat="1" applyFont="1" applyBorder="1" applyAlignment="1" applyProtection="1">
      <alignment vertical="center" wrapText="1"/>
      <protection hidden="1"/>
    </xf>
    <xf numFmtId="4" fontId="7" fillId="0" borderId="0" xfId="0" applyNumberFormat="1" applyFont="1" applyBorder="1" applyAlignment="1" applyProtection="1">
      <alignment horizontal="center" vertical="center" wrapText="1"/>
      <protection hidden="1"/>
    </xf>
    <xf numFmtId="49" fontId="2" fillId="0" borderId="0" xfId="0" applyNumberFormat="1" applyFont="1" applyAlignment="1" applyProtection="1">
      <alignment vertical="center" wrapText="1"/>
      <protection hidden="1"/>
    </xf>
    <xf numFmtId="0" fontId="2" fillId="0" borderId="0" xfId="0" applyNumberFormat="1" applyFont="1" applyAlignment="1" applyProtection="1">
      <alignment vertical="center" wrapText="1"/>
      <protection hidden="1"/>
    </xf>
    <xf numFmtId="4" fontId="2" fillId="0" borderId="0" xfId="0" applyNumberFormat="1" applyFont="1" applyFill="1" applyAlignment="1" applyProtection="1">
      <alignment vertical="center" wrapText="1"/>
      <protection hidden="1"/>
    </xf>
    <xf numFmtId="0" fontId="2" fillId="0" borderId="0" xfId="0" applyFont="1" applyAlignment="1" applyProtection="1">
      <alignment vertical="center" wrapText="1"/>
      <protection hidden="1"/>
    </xf>
    <xf numFmtId="4" fontId="31" fillId="2" borderId="0" xfId="0" applyNumberFormat="1" applyFont="1" applyFill="1" applyAlignment="1" applyProtection="1">
      <alignment vertical="center" wrapText="1"/>
      <protection hidden="1"/>
    </xf>
    <xf numFmtId="49" fontId="7" fillId="2" borderId="0" xfId="0" applyNumberFormat="1" applyFont="1" applyFill="1" applyBorder="1" applyAlignment="1" applyProtection="1">
      <alignment vertical="center" wrapText="1"/>
      <protection hidden="1"/>
    </xf>
    <xf numFmtId="4" fontId="7" fillId="2" borderId="0" xfId="0" applyNumberFormat="1" applyFont="1" applyFill="1" applyBorder="1" applyAlignment="1" applyProtection="1">
      <alignment horizontal="center" vertical="center" wrapText="1"/>
      <protection hidden="1"/>
    </xf>
    <xf numFmtId="4" fontId="2" fillId="0" borderId="0" xfId="0" applyNumberFormat="1" applyFont="1" applyFill="1" applyAlignment="1" applyProtection="1">
      <alignment vertical="center" wrapText="1"/>
      <protection hidden="1"/>
    </xf>
    <xf numFmtId="49" fontId="2" fillId="0" borderId="0" xfId="0" applyNumberFormat="1" applyFont="1" applyFill="1" applyAlignment="1" applyProtection="1">
      <alignment vertical="center" wrapText="1"/>
      <protection hidden="1"/>
    </xf>
    <xf numFmtId="0" fontId="2" fillId="0" borderId="0" xfId="0" applyNumberFormat="1" applyFont="1" applyFill="1" applyAlignment="1" applyProtection="1">
      <alignment vertical="center" wrapText="1"/>
      <protection hidden="1"/>
    </xf>
    <xf numFmtId="0" fontId="2" fillId="0" borderId="0" xfId="0" applyFont="1" applyAlignment="1" applyProtection="1">
      <alignment vertical="center" wrapText="1"/>
      <protection hidden="1"/>
    </xf>
    <xf numFmtId="49" fontId="3" fillId="0" borderId="0" xfId="0" applyNumberFormat="1" applyFont="1" applyBorder="1" applyAlignment="1" applyProtection="1">
      <alignment vertical="center" wrapText="1"/>
      <protection hidden="1"/>
    </xf>
    <xf numFmtId="49" fontId="3" fillId="0" borderId="0" xfId="0" applyNumberFormat="1" applyFont="1" applyFill="1" applyAlignment="1" applyProtection="1">
      <alignment vertical="center" wrapText="1"/>
      <protection hidden="1"/>
    </xf>
    <xf numFmtId="49" fontId="2" fillId="0" borderId="0" xfId="0" applyNumberFormat="1" applyFont="1" applyFill="1" applyAlignment="1" applyProtection="1">
      <alignment vertical="center" wrapText="1"/>
      <protection hidden="1"/>
    </xf>
    <xf numFmtId="0" fontId="2" fillId="0" borderId="0" xfId="0" applyNumberFormat="1" applyFont="1" applyFill="1" applyAlignment="1" applyProtection="1">
      <alignment vertical="center" wrapText="1"/>
      <protection hidden="1"/>
    </xf>
    <xf numFmtId="0" fontId="1" fillId="0" borderId="0" xfId="0" applyFont="1" applyAlignment="1" applyProtection="1">
      <alignment vertical="center" wrapText="1"/>
      <protection hidden="1"/>
    </xf>
    <xf numFmtId="0" fontId="7" fillId="0" borderId="0" xfId="0" applyFont="1" applyAlignment="1" applyProtection="1">
      <alignment vertical="center" wrapText="1"/>
      <protection hidden="1"/>
    </xf>
    <xf numFmtId="0" fontId="7" fillId="0" borderId="0" xfId="0" applyFont="1" applyAlignment="1" applyProtection="1">
      <alignment horizontal="center" vertical="center" wrapText="1"/>
      <protection hidden="1"/>
    </xf>
    <xf numFmtId="49" fontId="6" fillId="0" borderId="0" xfId="0" applyNumberFormat="1" applyFont="1" applyAlignment="1" applyProtection="1">
      <alignment vertical="center" wrapText="1"/>
      <protection hidden="1"/>
    </xf>
    <xf numFmtId="49" fontId="7" fillId="0" borderId="0" xfId="0" applyNumberFormat="1" applyFont="1" applyAlignment="1" applyProtection="1">
      <alignment vertical="center" wrapText="1"/>
      <protection hidden="1"/>
    </xf>
    <xf numFmtId="0" fontId="7" fillId="0" borderId="0" xfId="0" applyFont="1" applyFill="1" applyAlignment="1" applyProtection="1">
      <alignment horizontal="center" vertical="center" wrapText="1"/>
      <protection hidden="1"/>
    </xf>
    <xf numFmtId="4" fontId="7" fillId="0" borderId="0" xfId="0" applyNumberFormat="1" applyFont="1" applyAlignment="1" applyProtection="1">
      <alignment vertical="center" wrapText="1"/>
      <protection hidden="1"/>
    </xf>
    <xf numFmtId="164" fontId="7" fillId="0" borderId="0" xfId="0" applyNumberFormat="1" applyFont="1" applyAlignment="1" applyProtection="1">
      <alignment vertical="center" wrapText="1"/>
      <protection hidden="1"/>
    </xf>
    <xf numFmtId="165" fontId="7" fillId="0" borderId="0" xfId="0" applyNumberFormat="1" applyFont="1" applyAlignment="1" applyProtection="1">
      <alignment vertical="center" wrapText="1"/>
      <protection hidden="1"/>
    </xf>
    <xf numFmtId="0" fontId="57" fillId="0" borderId="0" xfId="0" applyFont="1" applyFill="1" applyAlignment="1" applyProtection="1">
      <alignment horizontal="center" vertical="center" wrapText="1"/>
      <protection hidden="1"/>
    </xf>
    <xf numFmtId="164" fontId="7" fillId="0" borderId="0" xfId="0" applyNumberFormat="1" applyFont="1" applyFill="1" applyAlignment="1" applyProtection="1">
      <alignment vertical="center" wrapText="1"/>
      <protection hidden="1"/>
    </xf>
    <xf numFmtId="3" fontId="2" fillId="0" borderId="0" xfId="0" applyNumberFormat="1" applyFont="1" applyAlignment="1" applyProtection="1">
      <alignment horizontal="right" vertical="center" wrapText="1"/>
      <protection hidden="1"/>
    </xf>
    <xf numFmtId="0" fontId="2" fillId="0" borderId="0" xfId="0" applyFont="1" applyAlignment="1" applyProtection="1">
      <alignment horizontal="right" vertical="center" wrapText="1"/>
      <protection hidden="1"/>
    </xf>
    <xf numFmtId="3" fontId="7" fillId="0" borderId="0" xfId="0" applyNumberFormat="1" applyFont="1" applyAlignment="1" applyProtection="1">
      <alignment vertical="center" wrapText="1"/>
      <protection hidden="1"/>
    </xf>
    <xf numFmtId="0" fontId="57" fillId="0" borderId="0" xfId="0" applyFont="1" applyAlignment="1" applyProtection="1">
      <alignment horizontal="center" vertical="center" wrapText="1"/>
      <protection hidden="1"/>
    </xf>
    <xf numFmtId="3" fontId="7" fillId="0" borderId="0" xfId="0" applyNumberFormat="1" applyFont="1" applyAlignment="1" applyProtection="1">
      <alignment horizontal="center" vertical="center" wrapText="1"/>
      <protection hidden="1"/>
    </xf>
    <xf numFmtId="0" fontId="3" fillId="0" borderId="0" xfId="0" applyFont="1" applyAlignment="1" applyProtection="1">
      <alignment vertical="center" wrapText="1"/>
      <protection hidden="1"/>
    </xf>
    <xf numFmtId="1" fontId="7" fillId="0" borderId="0" xfId="0" applyNumberFormat="1" applyFont="1" applyAlignment="1" applyProtection="1">
      <alignment vertical="center" wrapText="1"/>
      <protection hidden="1"/>
    </xf>
    <xf numFmtId="0" fontId="2" fillId="0" borderId="0" xfId="0" applyFont="1" applyAlignment="1" applyProtection="1">
      <alignment horizontal="center" vertical="center" wrapText="1"/>
      <protection hidden="1"/>
    </xf>
    <xf numFmtId="0" fontId="0" fillId="0" borderId="0" xfId="0" applyAlignment="1" applyProtection="1">
      <alignment wrapText="1"/>
      <protection hidden="1"/>
    </xf>
    <xf numFmtId="0" fontId="2" fillId="0" borderId="0" xfId="0" applyFont="1" applyAlignment="1">
      <alignment wrapText="1"/>
    </xf>
    <xf numFmtId="0" fontId="2" fillId="0" borderId="0" xfId="0" applyFont="1" applyAlignment="1" applyProtection="1">
      <alignment horizontal="left" wrapText="1"/>
      <protection hidden="1"/>
    </xf>
    <xf numFmtId="0" fontId="2" fillId="0" borderId="0" xfId="0" applyFont="1" applyAlignment="1" applyProtection="1">
      <alignment wrapText="1"/>
      <protection hidden="1"/>
    </xf>
    <xf numFmtId="49" fontId="0" fillId="0" borderId="0" xfId="0" applyNumberFormat="1" applyFont="1" applyBorder="1" applyAlignment="1" applyProtection="1">
      <alignment vertical="center"/>
      <protection locked="0"/>
    </xf>
    <xf numFmtId="4" fontId="0" fillId="0" borderId="0" xfId="0" applyNumberFormat="1" applyFont="1" applyBorder="1" applyAlignment="1" applyProtection="1">
      <alignment vertical="center"/>
      <protection locked="0"/>
    </xf>
    <xf numFmtId="49" fontId="0" fillId="2" borderId="0" xfId="0" applyNumberFormat="1" applyFont="1" applyFill="1" applyBorder="1" applyAlignment="1" applyProtection="1">
      <alignment vertical="center"/>
      <protection locked="0"/>
    </xf>
    <xf numFmtId="4" fontId="0" fillId="2" borderId="0" xfId="0" applyNumberFormat="1" applyFont="1" applyFill="1" applyBorder="1" applyAlignment="1" applyProtection="1">
      <alignment vertical="center"/>
      <protection locked="0"/>
    </xf>
    <xf numFmtId="4" fontId="2" fillId="0" borderId="0" xfId="0" applyNumberFormat="1" applyFont="1" applyAlignment="1" applyProtection="1">
      <alignment vertical="center"/>
      <protection locked="0"/>
    </xf>
    <xf numFmtId="49" fontId="2" fillId="7" borderId="0" xfId="0" applyNumberFormat="1" applyFont="1" applyFill="1" applyBorder="1" applyAlignment="1" applyProtection="1">
      <alignment vertical="center"/>
      <protection locked="0"/>
    </xf>
    <xf numFmtId="4" fontId="2" fillId="7" borderId="0" xfId="0" applyNumberFormat="1" applyFont="1" applyFill="1" applyBorder="1" applyAlignment="1" applyProtection="1">
      <alignment vertical="center"/>
      <protection locked="0"/>
    </xf>
    <xf numFmtId="49" fontId="2" fillId="0" borderId="0" xfId="0" applyNumberFormat="1" applyFont="1" applyBorder="1" applyAlignment="1" applyProtection="1">
      <alignment vertical="center"/>
      <protection locked="0"/>
    </xf>
    <xf numFmtId="4" fontId="2" fillId="0" borderId="0" xfId="0" applyNumberFormat="1" applyFont="1" applyBorder="1" applyAlignment="1" applyProtection="1">
      <alignment vertical="center"/>
      <protection locked="0"/>
    </xf>
    <xf numFmtId="49" fontId="2" fillId="7" borderId="0" xfId="0" applyNumberFormat="1" applyFont="1" applyFill="1" applyAlignment="1" applyProtection="1">
      <alignment vertical="center"/>
      <protection locked="0"/>
    </xf>
    <xf numFmtId="4" fontId="2" fillId="7" borderId="0" xfId="0" applyNumberFormat="1" applyFont="1" applyFill="1" applyAlignment="1" applyProtection="1">
      <alignment vertical="center"/>
      <protection locked="0"/>
    </xf>
    <xf numFmtId="49" fontId="2" fillId="0" borderId="0" xfId="0" applyNumberFormat="1" applyFont="1" applyAlignment="1" applyProtection="1">
      <alignment vertical="center"/>
      <protection locked="0"/>
    </xf>
    <xf numFmtId="4" fontId="2" fillId="7" borderId="9" xfId="0" applyNumberFormat="1" applyFont="1" applyFill="1" applyBorder="1" applyAlignment="1" applyProtection="1">
      <alignment vertical="center"/>
      <protection locked="0"/>
    </xf>
    <xf numFmtId="49" fontId="2" fillId="7" borderId="0" xfId="0" applyNumberFormat="1" applyFont="1" applyFill="1" applyAlignment="1" applyProtection="1">
      <alignment vertical="center"/>
      <protection locked="0"/>
    </xf>
    <xf numFmtId="4" fontId="2" fillId="7" borderId="9" xfId="0" applyNumberFormat="1" applyFont="1" applyFill="1" applyBorder="1" applyAlignment="1" applyProtection="1">
      <alignment vertical="center"/>
      <protection locked="0"/>
    </xf>
    <xf numFmtId="4" fontId="2" fillId="0" borderId="9" xfId="0" applyNumberFormat="1" applyFont="1" applyFill="1" applyBorder="1" applyAlignment="1" applyProtection="1">
      <alignment vertical="center"/>
      <protection locked="0"/>
    </xf>
    <xf numFmtId="4" fontId="2" fillId="7" borderId="9" xfId="0" applyNumberFormat="1" applyFont="1" applyFill="1" applyBorder="1" applyAlignment="1" applyProtection="1">
      <alignment horizontal="left" vertical="center"/>
      <protection locked="0"/>
    </xf>
    <xf numFmtId="0" fontId="2" fillId="7" borderId="9" xfId="0" applyNumberFormat="1" applyFont="1" applyFill="1" applyBorder="1" applyAlignment="1" applyProtection="1">
      <alignment horizontal="left" vertical="center"/>
      <protection locked="0"/>
    </xf>
    <xf numFmtId="3" fontId="2" fillId="7" borderId="9" xfId="0" applyNumberFormat="1" applyFont="1" applyFill="1" applyBorder="1" applyAlignment="1" applyProtection="1">
      <alignment horizontal="left" vertical="center"/>
      <protection locked="0"/>
    </xf>
    <xf numFmtId="49" fontId="2" fillId="7" borderId="9" xfId="0" applyNumberFormat="1" applyFont="1" applyFill="1" applyBorder="1" applyAlignment="1" applyProtection="1">
      <alignment vertical="center"/>
      <protection locked="0"/>
    </xf>
    <xf numFmtId="4" fontId="2" fillId="7" borderId="7" xfId="0" applyNumberFormat="1" applyFont="1" applyFill="1" applyBorder="1" applyAlignment="1" applyProtection="1">
      <alignment horizontal="left" vertical="center"/>
      <protection locked="0"/>
    </xf>
    <xf numFmtId="4" fontId="2" fillId="0" borderId="0" xfId="0" applyNumberFormat="1" applyFont="1" applyFill="1" applyAlignment="1" applyProtection="1">
      <alignment vertical="center"/>
      <protection locked="0"/>
    </xf>
    <xf numFmtId="165" fontId="2" fillId="7" borderId="9" xfId="0" applyNumberFormat="1" applyFont="1" applyFill="1" applyBorder="1" applyAlignment="1" applyProtection="1">
      <alignment horizontal="left" vertical="center"/>
      <protection locked="0"/>
    </xf>
    <xf numFmtId="49" fontId="2" fillId="7" borderId="0" xfId="0" applyNumberFormat="1" applyFont="1" applyFill="1" applyBorder="1" applyAlignment="1" applyProtection="1">
      <alignment horizontal="left" vertical="center"/>
      <protection locked="0"/>
    </xf>
    <xf numFmtId="49" fontId="2" fillId="7" borderId="0" xfId="0" applyNumberFormat="1" applyFont="1" applyFill="1" applyBorder="1" applyAlignment="1" applyProtection="1">
      <alignment horizontal="center" vertical="center" wrapText="1"/>
      <protection locked="0"/>
    </xf>
    <xf numFmtId="4" fontId="2" fillId="7" borderId="9" xfId="0" applyNumberFormat="1" applyFont="1" applyFill="1" applyBorder="1" applyAlignment="1" applyProtection="1">
      <alignment horizontal="left" vertical="center" wrapText="1"/>
      <protection locked="0"/>
    </xf>
    <xf numFmtId="4" fontId="2" fillId="7" borderId="0" xfId="0" applyNumberFormat="1" applyFont="1" applyFill="1" applyBorder="1" applyAlignment="1" applyProtection="1">
      <alignment vertical="center" wrapText="1"/>
      <protection locked="0"/>
    </xf>
    <xf numFmtId="4" fontId="2" fillId="7" borderId="7" xfId="0" applyNumberFormat="1" applyFont="1" applyFill="1" applyBorder="1" applyAlignment="1" applyProtection="1">
      <alignment vertical="center"/>
      <protection locked="0"/>
    </xf>
    <xf numFmtId="0" fontId="1" fillId="7" borderId="11" xfId="0" applyFont="1" applyFill="1" applyBorder="1" applyAlignment="1" applyProtection="1">
      <alignment horizontal="center" vertical="center"/>
      <protection locked="0"/>
    </xf>
    <xf numFmtId="0" fontId="1" fillId="7" borderId="8" xfId="0" applyFont="1" applyFill="1" applyBorder="1" applyAlignment="1" applyProtection="1">
      <alignment horizontal="center" vertical="center"/>
      <protection locked="0"/>
    </xf>
    <xf numFmtId="0" fontId="0" fillId="7" borderId="0" xfId="0" applyFill="1" applyBorder="1" applyAlignment="1" applyProtection="1">
      <alignment vertical="center"/>
      <protection locked="0"/>
    </xf>
    <xf numFmtId="0" fontId="0" fillId="7" borderId="9" xfId="0" applyFill="1" applyBorder="1" applyAlignment="1" applyProtection="1">
      <alignment vertical="center"/>
      <protection locked="0"/>
    </xf>
    <xf numFmtId="49" fontId="0" fillId="7" borderId="10" xfId="0" applyNumberFormat="1" applyFill="1" applyBorder="1" applyAlignment="1" applyProtection="1">
      <alignment vertical="center"/>
      <protection locked="0"/>
    </xf>
    <xf numFmtId="49" fontId="0" fillId="7" borderId="0" xfId="0" applyNumberFormat="1" applyFill="1" applyBorder="1" applyAlignment="1" applyProtection="1">
      <alignment vertical="center"/>
      <protection locked="0"/>
    </xf>
    <xf numFmtId="0" fontId="0" fillId="7" borderId="10" xfId="0" applyFill="1" applyBorder="1" applyAlignment="1" applyProtection="1">
      <alignment vertical="center"/>
      <protection locked="0"/>
    </xf>
    <xf numFmtId="0" fontId="0" fillId="7" borderId="11" xfId="0" applyFont="1" applyFill="1" applyBorder="1" applyAlignment="1" applyProtection="1">
      <alignment horizontal="center" vertical="center"/>
      <protection locked="0"/>
    </xf>
    <xf numFmtId="0" fontId="37" fillId="5" borderId="10" xfId="0" applyFont="1" applyFill="1" applyBorder="1" applyAlignment="1" applyProtection="1">
      <alignment vertical="center"/>
      <protection locked="0"/>
    </xf>
    <xf numFmtId="0" fontId="0" fillId="5" borderId="0" xfId="0" applyFill="1" applyBorder="1" applyAlignment="1" applyProtection="1">
      <alignment vertical="center"/>
      <protection locked="0"/>
    </xf>
    <xf numFmtId="0" fontId="0" fillId="0" borderId="9" xfId="0" applyBorder="1" applyAlignment="1" applyProtection="1">
      <alignment vertical="center"/>
      <protection locked="0"/>
    </xf>
    <xf numFmtId="0" fontId="32" fillId="6" borderId="10" xfId="0" applyFont="1" applyFill="1" applyBorder="1" applyAlignment="1" applyProtection="1">
      <alignment vertical="center"/>
      <protection locked="0"/>
    </xf>
    <xf numFmtId="0" fontId="32" fillId="6" borderId="0" xfId="0" applyFont="1" applyFill="1" applyBorder="1" applyAlignment="1" applyProtection="1">
      <alignment vertical="center"/>
      <protection locked="0"/>
    </xf>
    <xf numFmtId="0" fontId="0" fillId="6" borderId="9" xfId="0" applyFill="1" applyBorder="1" applyAlignment="1" applyProtection="1">
      <alignment vertical="center"/>
      <protection locked="0"/>
    </xf>
    <xf numFmtId="0" fontId="0" fillId="5" borderId="10" xfId="0" applyFill="1" applyBorder="1" applyAlignment="1" applyProtection="1">
      <alignment vertical="center"/>
      <protection locked="0"/>
    </xf>
    <xf numFmtId="0" fontId="0" fillId="5" borderId="1" xfId="0" applyFill="1" applyBorder="1" applyAlignment="1" applyProtection="1">
      <alignment vertical="center"/>
      <protection locked="0"/>
    </xf>
    <xf numFmtId="0" fontId="1" fillId="5" borderId="12" xfId="0" applyFont="1" applyFill="1" applyBorder="1" applyAlignment="1" applyProtection="1">
      <alignment vertical="center"/>
      <protection locked="0"/>
    </xf>
    <xf numFmtId="0" fontId="0" fillId="5" borderId="13" xfId="0" applyFill="1" applyBorder="1" applyAlignment="1" applyProtection="1">
      <alignment vertical="center"/>
      <protection locked="0"/>
    </xf>
    <xf numFmtId="0" fontId="0" fillId="0" borderId="0" xfId="0" applyBorder="1" applyAlignment="1" applyProtection="1">
      <alignment vertical="center"/>
      <protection locked="0"/>
    </xf>
    <xf numFmtId="0" fontId="2" fillId="5" borderId="13" xfId="0" applyFont="1" applyFill="1" applyBorder="1" applyAlignment="1" applyProtection="1">
      <alignment horizontal="center" vertical="center"/>
      <protection locked="0"/>
    </xf>
    <xf numFmtId="0" fontId="2" fillId="5" borderId="14" xfId="0" applyFont="1" applyFill="1" applyBorder="1" applyAlignment="1" applyProtection="1">
      <alignment horizontal="center" vertical="center"/>
      <protection locked="0"/>
    </xf>
    <xf numFmtId="0" fontId="0" fillId="5" borderId="12" xfId="0" applyFill="1" applyBorder="1" applyAlignment="1" applyProtection="1">
      <alignment vertical="center"/>
      <protection locked="0"/>
    </xf>
    <xf numFmtId="0" fontId="2" fillId="5" borderId="11" xfId="0" applyFont="1" applyFill="1" applyBorder="1" applyAlignment="1" applyProtection="1">
      <alignment horizontal="center" vertical="center"/>
      <protection locked="0"/>
    </xf>
    <xf numFmtId="0" fontId="0" fillId="7" borderId="12" xfId="0" applyFill="1" applyBorder="1" applyAlignment="1" applyProtection="1">
      <alignment vertical="center"/>
      <protection locked="0"/>
    </xf>
    <xf numFmtId="0" fontId="0" fillId="7" borderId="13" xfId="0" applyFill="1" applyBorder="1" applyAlignment="1" applyProtection="1">
      <alignment vertical="center"/>
      <protection locked="0"/>
    </xf>
    <xf numFmtId="0" fontId="2" fillId="7" borderId="11" xfId="0" applyFont="1" applyFill="1" applyBorder="1" applyAlignment="1" applyProtection="1">
      <alignment horizontal="center" vertical="center"/>
      <protection locked="0"/>
    </xf>
    <xf numFmtId="0" fontId="0" fillId="7" borderId="6" xfId="0" applyFill="1" applyBorder="1" applyAlignment="1" applyProtection="1">
      <alignment vertical="center"/>
      <protection locked="0"/>
    </xf>
    <xf numFmtId="0" fontId="0" fillId="7" borderId="1" xfId="0" applyFill="1" applyBorder="1" applyAlignment="1" applyProtection="1">
      <alignment vertical="center"/>
      <protection locked="0"/>
    </xf>
    <xf numFmtId="0" fontId="2" fillId="5" borderId="0" xfId="0" applyFont="1" applyFill="1" applyBorder="1" applyAlignment="1" applyProtection="1">
      <alignment horizontal="center" vertical="center"/>
      <protection locked="0"/>
    </xf>
    <xf numFmtId="0" fontId="2" fillId="6" borderId="0" xfId="0" applyFont="1" applyFill="1" applyBorder="1" applyAlignment="1" applyProtection="1">
      <alignment horizontal="center" vertical="center"/>
      <protection locked="0"/>
    </xf>
    <xf numFmtId="0" fontId="0" fillId="5" borderId="6" xfId="0" applyFill="1" applyBorder="1" applyAlignment="1" applyProtection="1">
      <alignment vertical="center"/>
      <protection locked="0"/>
    </xf>
    <xf numFmtId="0" fontId="2" fillId="5" borderId="1" xfId="0" applyFont="1" applyFill="1" applyBorder="1" applyAlignment="1" applyProtection="1">
      <alignment horizontal="center" vertical="center"/>
      <protection locked="0"/>
    </xf>
    <xf numFmtId="0" fontId="0" fillId="0" borderId="7" xfId="0" applyBorder="1" applyAlignment="1" applyProtection="1">
      <alignment vertical="center"/>
      <protection locked="0"/>
    </xf>
    <xf numFmtId="0" fontId="0" fillId="5" borderId="0" xfId="0" applyFill="1" applyAlignment="1" applyProtection="1">
      <alignment vertical="center"/>
      <protection locked="0"/>
    </xf>
    <xf numFmtId="0" fontId="2" fillId="5" borderId="0" xfId="0" applyFont="1" applyFill="1" applyAlignment="1" applyProtection="1">
      <alignment horizontal="center" vertical="center"/>
      <protection locked="0"/>
    </xf>
    <xf numFmtId="0" fontId="0" fillId="0" borderId="0" xfId="0" applyAlignment="1" applyProtection="1">
      <alignment vertical="center"/>
      <protection locked="0"/>
    </xf>
    <xf numFmtId="0" fontId="32" fillId="6" borderId="3" xfId="0" applyFont="1" applyFill="1" applyBorder="1" applyAlignment="1" applyProtection="1">
      <alignment vertical="center"/>
      <protection locked="0"/>
    </xf>
    <xf numFmtId="0" fontId="32" fillId="6" borderId="15" xfId="0" applyFont="1" applyFill="1" applyBorder="1" applyAlignment="1" applyProtection="1">
      <alignment vertical="center"/>
      <protection locked="0"/>
    </xf>
    <xf numFmtId="0" fontId="2" fillId="6" borderId="15" xfId="0" applyFont="1" applyFill="1" applyBorder="1" applyAlignment="1" applyProtection="1">
      <alignment horizontal="center" vertical="center"/>
      <protection locked="0"/>
    </xf>
    <xf numFmtId="0" fontId="0" fillId="6" borderId="4" xfId="0" applyFill="1" applyBorder="1" applyAlignment="1" applyProtection="1">
      <alignment vertical="center"/>
      <protection locked="0"/>
    </xf>
    <xf numFmtId="0" fontId="0" fillId="5" borderId="10" xfId="0" applyFont="1" applyFill="1" applyBorder="1" applyAlignment="1" applyProtection="1">
      <alignment vertical="center"/>
      <protection locked="0"/>
    </xf>
    <xf numFmtId="0" fontId="2" fillId="5" borderId="11" xfId="0" applyFont="1" applyFill="1" applyBorder="1" applyAlignment="1" applyProtection="1">
      <alignment horizontal="left" vertical="center"/>
      <protection locked="0"/>
    </xf>
    <xf numFmtId="0" fontId="1" fillId="5" borderId="10" xfId="0" applyFont="1" applyFill="1" applyBorder="1" applyAlignment="1" applyProtection="1">
      <alignment vertical="center"/>
      <protection locked="0"/>
    </xf>
    <xf numFmtId="0" fontId="2" fillId="0" borderId="4"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protection locked="0"/>
    </xf>
    <xf numFmtId="0" fontId="2" fillId="5" borderId="10" xfId="0" applyFont="1" applyFill="1" applyBorder="1" applyAlignment="1" applyProtection="1">
      <alignment vertical="center"/>
      <protection locked="0"/>
    </xf>
    <xf numFmtId="0" fontId="2" fillId="0" borderId="0" xfId="0" applyFont="1" applyFill="1" applyBorder="1" applyAlignment="1" applyProtection="1">
      <alignment horizontal="center" vertical="center"/>
      <protection locked="0"/>
    </xf>
    <xf numFmtId="0" fontId="0" fillId="6" borderId="0" xfId="0" applyFill="1" applyBorder="1" applyAlignment="1" applyProtection="1">
      <alignment vertical="center"/>
      <protection locked="0"/>
    </xf>
    <xf numFmtId="0" fontId="0" fillId="0" borderId="10" xfId="0" applyBorder="1" applyAlignment="1" applyProtection="1">
      <alignment vertical="center"/>
      <protection locked="0"/>
    </xf>
    <xf numFmtId="0" fontId="2" fillId="0" borderId="0" xfId="0" applyFont="1" applyBorder="1" applyAlignment="1" applyProtection="1">
      <alignment horizontal="center" vertical="center"/>
      <protection locked="0"/>
    </xf>
    <xf numFmtId="0" fontId="0" fillId="0" borderId="6" xfId="0" applyBorder="1" applyAlignment="1" applyProtection="1">
      <alignment vertical="center"/>
      <protection locked="0"/>
    </xf>
    <xf numFmtId="0" fontId="0" fillId="0" borderId="1" xfId="0" applyBorder="1" applyAlignment="1" applyProtection="1">
      <alignment vertical="center"/>
      <protection locked="0"/>
    </xf>
    <xf numFmtId="0" fontId="2" fillId="0" borderId="1" xfId="0" applyFont="1" applyBorder="1" applyAlignment="1" applyProtection="1">
      <alignment horizontal="center" vertical="center"/>
      <protection locked="0"/>
    </xf>
    <xf numFmtId="0" fontId="0" fillId="7" borderId="1" xfId="0" applyFont="1" applyFill="1" applyBorder="1" applyAlignment="1" applyProtection="1">
      <alignment vertical="center"/>
      <protection locked="0"/>
    </xf>
    <xf numFmtId="0" fontId="0" fillId="7" borderId="7" xfId="0" applyFont="1" applyFill="1" applyBorder="1" applyAlignment="1" applyProtection="1">
      <alignment vertical="center"/>
      <protection locked="0"/>
    </xf>
    <xf numFmtId="0" fontId="16" fillId="7" borderId="11" xfId="0" applyFont="1" applyFill="1" applyBorder="1" applyAlignment="1" applyProtection="1">
      <alignment horizontal="center" vertical="center"/>
      <protection locked="0"/>
    </xf>
    <xf numFmtId="0" fontId="11" fillId="7" borderId="14" xfId="0" applyFont="1" applyFill="1" applyBorder="1" applyAlignment="1" applyProtection="1">
      <alignment horizontal="center" vertical="center"/>
      <protection locked="0"/>
    </xf>
    <xf numFmtId="0" fontId="16" fillId="7" borderId="11" xfId="0" applyFont="1" applyFill="1" applyBorder="1" applyAlignment="1" applyProtection="1">
      <alignment horizontal="center" vertical="center"/>
      <protection locked="0"/>
    </xf>
    <xf numFmtId="0" fontId="11" fillId="7" borderId="14" xfId="0" applyFont="1" applyFill="1" applyBorder="1" applyAlignment="1" applyProtection="1">
      <alignment horizontal="center" vertical="center"/>
      <protection locked="0"/>
    </xf>
    <xf numFmtId="49" fontId="2" fillId="0" borderId="5" xfId="0" applyNumberFormat="1" applyFont="1" applyBorder="1" applyAlignment="1" applyProtection="1">
      <alignment vertical="center"/>
      <protection locked="0"/>
    </xf>
    <xf numFmtId="49" fontId="2" fillId="0" borderId="0" xfId="0" applyNumberFormat="1" applyFont="1" applyAlignment="1" applyProtection="1">
      <alignment horizontal="center" vertical="center"/>
      <protection locked="0"/>
    </xf>
    <xf numFmtId="49" fontId="2" fillId="0" borderId="10" xfId="0" applyNumberFormat="1" applyFont="1" applyBorder="1" applyAlignment="1" applyProtection="1">
      <alignment vertical="center"/>
      <protection locked="0"/>
    </xf>
    <xf numFmtId="49" fontId="2" fillId="0" borderId="0" xfId="0" applyNumberFormat="1" applyFont="1" applyBorder="1" applyAlignment="1" applyProtection="1">
      <alignment vertical="center"/>
      <protection locked="0"/>
    </xf>
    <xf numFmtId="4" fontId="11" fillId="0" borderId="0" xfId="0" applyNumberFormat="1" applyFont="1" applyAlignment="1" applyProtection="1">
      <alignment vertical="center"/>
      <protection locked="0"/>
    </xf>
    <xf numFmtId="4" fontId="8" fillId="0" borderId="0" xfId="0" applyNumberFormat="1" applyFont="1" applyAlignment="1" applyProtection="1">
      <alignment vertical="center"/>
      <protection locked="0"/>
    </xf>
    <xf numFmtId="4" fontId="8" fillId="0" borderId="5" xfId="0" applyNumberFormat="1" applyFont="1" applyBorder="1" applyAlignment="1" applyProtection="1">
      <alignment vertical="center"/>
      <protection locked="0"/>
    </xf>
    <xf numFmtId="4" fontId="8" fillId="4" borderId="10" xfId="0" applyNumberFormat="1" applyFont="1" applyFill="1" applyBorder="1" applyAlignment="1" applyProtection="1">
      <alignment vertical="center"/>
      <protection locked="0"/>
    </xf>
    <xf numFmtId="49" fontId="2" fillId="0" borderId="5" xfId="0" applyNumberFormat="1" applyFont="1" applyBorder="1" applyAlignment="1" applyProtection="1">
      <alignment horizontal="center" vertical="center"/>
      <protection locked="0"/>
    </xf>
    <xf numFmtId="0" fontId="2" fillId="0" borderId="0" xfId="0" applyFont="1" applyAlignment="1" applyProtection="1">
      <alignment vertical="center"/>
      <protection locked="0"/>
    </xf>
    <xf numFmtId="4" fontId="2" fillId="0" borderId="5" xfId="0" applyNumberFormat="1" applyFont="1" applyBorder="1" applyAlignment="1" applyProtection="1">
      <alignment vertical="center"/>
      <protection locked="0"/>
    </xf>
    <xf numFmtId="4" fontId="2" fillId="4" borderId="10" xfId="0" applyNumberFormat="1" applyFont="1" applyFill="1" applyBorder="1" applyAlignment="1" applyProtection="1">
      <alignment vertical="center"/>
      <protection locked="0"/>
    </xf>
    <xf numFmtId="4" fontId="0" fillId="0" borderId="5" xfId="0" applyNumberFormat="1" applyFont="1" applyBorder="1" applyAlignment="1" applyProtection="1">
      <alignment vertical="center"/>
      <protection locked="0"/>
    </xf>
    <xf numFmtId="4" fontId="0" fillId="0" borderId="0" xfId="0" applyNumberFormat="1" applyFont="1" applyAlignment="1" applyProtection="1">
      <alignment vertical="center"/>
      <protection locked="0"/>
    </xf>
    <xf numFmtId="49" fontId="3" fillId="0" borderId="5" xfId="0" applyNumberFormat="1" applyFont="1" applyBorder="1" applyAlignment="1" applyProtection="1">
      <alignment vertical="center"/>
      <protection locked="0"/>
    </xf>
    <xf numFmtId="4" fontId="2" fillId="0" borderId="0" xfId="0" applyNumberFormat="1" applyFont="1" applyAlignment="1" applyProtection="1">
      <alignment vertical="center"/>
      <protection locked="0"/>
    </xf>
    <xf numFmtId="4" fontId="2" fillId="0" borderId="5" xfId="0" applyNumberFormat="1" applyFont="1" applyBorder="1" applyAlignment="1" applyProtection="1">
      <alignment vertical="center"/>
      <protection locked="0"/>
    </xf>
    <xf numFmtId="4" fontId="2" fillId="4" borderId="10" xfId="0" applyNumberFormat="1" applyFont="1" applyFill="1" applyBorder="1" applyAlignment="1" applyProtection="1">
      <alignment vertical="center"/>
      <protection locked="0"/>
    </xf>
    <xf numFmtId="4" fontId="2" fillId="0" borderId="0" xfId="0" applyNumberFormat="1" applyFont="1" applyBorder="1" applyAlignment="1" applyProtection="1">
      <alignment vertical="center"/>
      <protection locked="0"/>
    </xf>
    <xf numFmtId="4" fontId="2" fillId="0" borderId="10" xfId="0" applyNumberFormat="1" applyFont="1" applyBorder="1" applyAlignment="1" applyProtection="1">
      <alignment vertical="center"/>
      <protection locked="0"/>
    </xf>
    <xf numFmtId="49" fontId="2" fillId="0" borderId="10" xfId="0" applyNumberFormat="1" applyFont="1" applyBorder="1" applyAlignment="1" applyProtection="1">
      <alignment vertical="center"/>
      <protection locked="0"/>
    </xf>
    <xf numFmtId="0" fontId="2" fillId="0" borderId="5" xfId="0" applyNumberFormat="1" applyFont="1" applyBorder="1" applyAlignment="1" applyProtection="1">
      <alignment vertical="center"/>
      <protection locked="0"/>
    </xf>
    <xf numFmtId="0" fontId="2" fillId="0" borderId="0" xfId="0" applyNumberFormat="1" applyFont="1" applyBorder="1" applyAlignment="1" applyProtection="1">
      <alignment vertical="center"/>
      <protection locked="0"/>
    </xf>
    <xf numFmtId="2" fontId="2" fillId="0" borderId="0" xfId="0" applyNumberFormat="1" applyFont="1" applyBorder="1" applyAlignment="1" applyProtection="1">
      <alignment vertical="center"/>
      <protection locked="0"/>
    </xf>
    <xf numFmtId="3" fontId="2" fillId="0" borderId="5" xfId="0" applyNumberFormat="1" applyFont="1" applyBorder="1" applyAlignment="1" applyProtection="1">
      <alignment vertical="center"/>
      <protection locked="0"/>
    </xf>
    <xf numFmtId="4" fontId="2" fillId="0" borderId="0" xfId="0" applyNumberFormat="1" applyFont="1" applyBorder="1" applyAlignment="1" applyProtection="1">
      <alignment vertical="center" wrapText="1"/>
      <protection locked="0"/>
    </xf>
    <xf numFmtId="4" fontId="2" fillId="0" borderId="5" xfId="0" applyNumberFormat="1" applyFont="1" applyBorder="1" applyAlignment="1" applyProtection="1">
      <alignment vertical="center" wrapText="1"/>
      <protection locked="0"/>
    </xf>
    <xf numFmtId="4" fontId="2" fillId="4" borderId="10" xfId="0" applyNumberFormat="1" applyFont="1" applyFill="1" applyBorder="1" applyAlignment="1" applyProtection="1">
      <alignment vertical="center" wrapText="1"/>
      <protection locked="0"/>
    </xf>
    <xf numFmtId="4" fontId="2" fillId="0" borderId="0" xfId="0" applyNumberFormat="1" applyFont="1" applyAlignment="1" applyProtection="1">
      <alignment vertical="center" wrapText="1"/>
      <protection locked="0"/>
    </xf>
    <xf numFmtId="4" fontId="2" fillId="4" borderId="5" xfId="0" applyNumberFormat="1" applyFont="1" applyFill="1" applyBorder="1" applyAlignment="1" applyProtection="1">
      <alignment vertical="center" wrapText="1"/>
      <protection locked="0"/>
    </xf>
    <xf numFmtId="4" fontId="2" fillId="0" borderId="10" xfId="0" applyNumberFormat="1" applyFont="1" applyBorder="1" applyAlignment="1" applyProtection="1">
      <alignment vertical="center" wrapText="1"/>
      <protection locked="0"/>
    </xf>
    <xf numFmtId="49" fontId="0" fillId="0" borderId="10" xfId="0" applyNumberFormat="1" applyFont="1" applyBorder="1" applyAlignment="1" applyProtection="1">
      <alignment vertical="center"/>
      <protection locked="0"/>
    </xf>
    <xf numFmtId="0" fontId="2" fillId="0" borderId="10" xfId="0" applyNumberFormat="1" applyFont="1" applyBorder="1" applyAlignment="1" applyProtection="1">
      <alignment vertical="center"/>
      <protection locked="0"/>
    </xf>
    <xf numFmtId="4" fontId="2" fillId="4" borderId="0" xfId="0" applyNumberFormat="1" applyFont="1" applyFill="1" applyBorder="1" applyAlignment="1" applyProtection="1">
      <alignment vertical="center"/>
      <protection locked="0"/>
    </xf>
    <xf numFmtId="49" fontId="2" fillId="0" borderId="6" xfId="0" applyNumberFormat="1" applyFont="1" applyBorder="1" applyAlignment="1" applyProtection="1">
      <alignment vertical="center"/>
      <protection locked="0"/>
    </xf>
    <xf numFmtId="49" fontId="0" fillId="0" borderId="6" xfId="0" applyNumberFormat="1" applyFont="1" applyBorder="1" applyAlignment="1" applyProtection="1">
      <alignment vertical="center"/>
      <protection locked="0"/>
    </xf>
    <xf numFmtId="0" fontId="2" fillId="0" borderId="6" xfId="0" applyNumberFormat="1" applyFont="1" applyBorder="1" applyAlignment="1" applyProtection="1">
      <alignment vertical="center"/>
      <protection locked="0"/>
    </xf>
    <xf numFmtId="4" fontId="0" fillId="0" borderId="1" xfId="0" applyNumberFormat="1" applyFont="1" applyBorder="1" applyAlignment="1" applyProtection="1">
      <alignment vertical="center"/>
      <protection locked="0"/>
    </xf>
    <xf numFmtId="4" fontId="2" fillId="0" borderId="1" xfId="0" applyNumberFormat="1" applyFont="1" applyBorder="1" applyAlignment="1" applyProtection="1">
      <alignment vertical="center"/>
      <protection locked="0"/>
    </xf>
    <xf numFmtId="4" fontId="2" fillId="0" borderId="8" xfId="0" applyNumberFormat="1" applyFont="1" applyBorder="1" applyAlignment="1" applyProtection="1">
      <alignment vertical="center"/>
      <protection locked="0"/>
    </xf>
    <xf numFmtId="4" fontId="2" fillId="4" borderId="1" xfId="0" applyNumberFormat="1" applyFont="1" applyFill="1" applyBorder="1" applyAlignment="1" applyProtection="1">
      <alignment vertical="center"/>
      <protection locked="0"/>
    </xf>
    <xf numFmtId="4" fontId="0" fillId="0" borderId="8" xfId="0" applyNumberFormat="1" applyFont="1" applyBorder="1" applyAlignment="1" applyProtection="1">
      <alignment vertical="center"/>
      <protection locked="0"/>
    </xf>
    <xf numFmtId="4" fontId="8" fillId="0" borderId="0" xfId="0" applyNumberFormat="1" applyFont="1" applyAlignment="1" applyProtection="1">
      <alignment vertical="center"/>
      <protection locked="0"/>
    </xf>
    <xf numFmtId="4" fontId="2" fillId="0" borderId="0" xfId="0" applyNumberFormat="1" applyFont="1" applyAlignment="1" applyProtection="1">
      <alignment horizontal="center" vertical="center"/>
      <protection locked="0"/>
    </xf>
    <xf numFmtId="4" fontId="2" fillId="0" borderId="0" xfId="0" applyNumberFormat="1" applyFont="1" applyAlignment="1" applyProtection="1">
      <alignment horizontal="center" vertical="center"/>
      <protection locked="0"/>
    </xf>
    <xf numFmtId="4" fontId="2" fillId="0" borderId="9" xfId="0" applyNumberFormat="1" applyFont="1" applyFill="1" applyBorder="1" applyAlignment="1" applyProtection="1">
      <alignment vertical="center"/>
      <protection hidden="1"/>
    </xf>
    <xf numFmtId="49" fontId="3" fillId="0" borderId="0" xfId="0" applyNumberFormat="1" applyFont="1" applyFill="1" applyBorder="1" applyAlignment="1" applyProtection="1">
      <alignment horizontal="center" vertical="center"/>
      <protection hidden="1"/>
    </xf>
    <xf numFmtId="4" fontId="3" fillId="0" borderId="9" xfId="0" applyNumberFormat="1" applyFont="1" applyFill="1" applyBorder="1" applyAlignment="1" applyProtection="1">
      <alignment horizontal="left" vertical="center"/>
      <protection hidden="1"/>
    </xf>
    <xf numFmtId="49" fontId="2" fillId="0" borderId="0" xfId="0" applyNumberFormat="1" applyFont="1" applyFill="1" applyBorder="1" applyAlignment="1" applyProtection="1">
      <alignment horizontal="center" vertical="center"/>
      <protection hidden="1"/>
    </xf>
    <xf numFmtId="4" fontId="2" fillId="0" borderId="9" xfId="0" applyNumberFormat="1" applyFont="1" applyFill="1" applyBorder="1" applyAlignment="1" applyProtection="1">
      <alignment horizontal="left" vertical="center"/>
      <protection hidden="1"/>
    </xf>
    <xf numFmtId="165" fontId="2" fillId="7" borderId="0" xfId="0" applyNumberFormat="1" applyFont="1" applyFill="1" applyBorder="1" applyAlignment="1" applyProtection="1">
      <alignment horizontal="center" vertical="center"/>
      <protection locked="0"/>
    </xf>
    <xf numFmtId="165" fontId="2" fillId="7" borderId="0" xfId="0" applyNumberFormat="1" applyFont="1" applyFill="1" applyBorder="1" applyAlignment="1" applyProtection="1">
      <alignment horizontal="center" vertical="center"/>
      <protection locked="0"/>
    </xf>
    <xf numFmtId="3" fontId="2" fillId="7" borderId="0" xfId="0" applyNumberFormat="1" applyFont="1" applyFill="1" applyBorder="1" applyAlignment="1" applyProtection="1">
      <alignment horizontal="center" vertical="center"/>
      <protection locked="0"/>
    </xf>
    <xf numFmtId="3" fontId="3" fillId="7" borderId="0" xfId="0" applyNumberFormat="1" applyFont="1" applyFill="1" applyBorder="1" applyAlignment="1" applyProtection="1">
      <alignment horizontal="center" vertical="center"/>
      <protection locked="0"/>
    </xf>
    <xf numFmtId="3" fontId="2" fillId="7" borderId="0" xfId="0" applyNumberFormat="1" applyFont="1" applyFill="1" applyBorder="1" applyAlignment="1" applyProtection="1">
      <alignment horizontal="center" vertical="center"/>
      <protection locked="0"/>
    </xf>
    <xf numFmtId="165" fontId="3" fillId="0" borderId="0" xfId="0" applyNumberFormat="1" applyFont="1" applyAlignment="1" applyProtection="1">
      <alignment horizontal="left" vertical="center"/>
      <protection hidden="1"/>
    </xf>
    <xf numFmtId="0" fontId="1" fillId="0" borderId="0" xfId="0" applyFont="1" applyAlignment="1" applyProtection="1">
      <alignment horizontal="left" wrapText="1"/>
      <protection hidden="1"/>
    </xf>
    <xf numFmtId="0" fontId="0" fillId="0" borderId="0" xfId="0" applyFont="1" applyAlignment="1" applyProtection="1">
      <alignment horizontal="left" wrapText="1"/>
      <protection hidden="1"/>
    </xf>
    <xf numFmtId="49" fontId="3" fillId="0" borderId="0" xfId="0" applyNumberFormat="1" applyFont="1" applyAlignment="1" applyProtection="1">
      <alignment vertical="center" wrapText="1"/>
      <protection hidden="1"/>
    </xf>
    <xf numFmtId="0" fontId="3" fillId="0" borderId="0" xfId="0" applyFont="1" applyAlignment="1" applyProtection="1">
      <alignment vertical="center" wrapText="1"/>
      <protection hidden="1"/>
    </xf>
    <xf numFmtId="0" fontId="1" fillId="0" borderId="0" xfId="0" applyFont="1" applyAlignment="1" applyProtection="1">
      <alignment vertical="center" wrapText="1"/>
      <protection hidden="1"/>
    </xf>
    <xf numFmtId="0" fontId="1" fillId="0" borderId="0" xfId="0" applyFont="1" applyAlignment="1" applyProtection="1">
      <alignment horizontal="center" vertical="center" wrapText="1"/>
      <protection hidden="1"/>
    </xf>
    <xf numFmtId="0" fontId="57" fillId="0" borderId="0" xfId="0" applyNumberFormat="1" applyFont="1" applyAlignment="1" applyProtection="1">
      <alignment horizontal="center" vertical="center" wrapText="1"/>
      <protection hidden="1"/>
    </xf>
    <xf numFmtId="164" fontId="7" fillId="0" borderId="0" xfId="0" applyNumberFormat="1" applyFont="1" applyAlignment="1" applyProtection="1">
      <alignment horizontal="center" vertical="center" wrapText="1"/>
      <protection hidden="1"/>
    </xf>
    <xf numFmtId="165" fontId="2" fillId="7" borderId="0" xfId="0" applyNumberFormat="1" applyFont="1" applyFill="1" applyAlignment="1" applyProtection="1">
      <alignment vertical="center"/>
      <protection locked="0"/>
    </xf>
    <xf numFmtId="3" fontId="8" fillId="8" borderId="0" xfId="0" applyNumberFormat="1" applyFont="1" applyFill="1" applyAlignment="1" applyProtection="1">
      <alignment vertical="center"/>
      <protection locked="0"/>
    </xf>
    <xf numFmtId="3" fontId="8" fillId="0" borderId="0" xfId="0" applyNumberFormat="1" applyFont="1" applyFill="1" applyAlignment="1" applyProtection="1">
      <alignment vertical="center"/>
      <protection hidden="1"/>
    </xf>
    <xf numFmtId="165" fontId="8" fillId="7" borderId="0" xfId="0" applyNumberFormat="1" applyFont="1" applyFill="1" applyAlignment="1" applyProtection="1">
      <alignment vertical="center"/>
      <protection locked="0"/>
    </xf>
    <xf numFmtId="165" fontId="8" fillId="7" borderId="0" xfId="0" applyNumberFormat="1" applyFont="1" applyFill="1" applyAlignment="1" applyProtection="1">
      <alignment vertical="center"/>
      <protection locked="0"/>
    </xf>
    <xf numFmtId="165" fontId="2" fillId="0" borderId="0" xfId="0" applyNumberFormat="1" applyFont="1" applyFill="1" applyAlignment="1" applyProtection="1">
      <alignment vertical="center"/>
      <protection hidden="1"/>
    </xf>
    <xf numFmtId="3" fontId="42" fillId="2" borderId="1" xfId="0" applyNumberFormat="1" applyFont="1" applyFill="1" applyBorder="1" applyAlignment="1" applyProtection="1">
      <alignment horizontal="right" vertical="center"/>
      <protection hidden="1"/>
    </xf>
    <xf numFmtId="4" fontId="2" fillId="7" borderId="1" xfId="0" applyNumberFormat="1" applyFont="1" applyFill="1" applyBorder="1" applyAlignment="1" applyProtection="1">
      <alignment vertical="center"/>
      <protection locked="0"/>
    </xf>
    <xf numFmtId="4" fontId="2" fillId="0" borderId="11" xfId="0" applyNumberFormat="1" applyFont="1" applyFill="1" applyBorder="1" applyAlignment="1" applyProtection="1">
      <alignment vertical="center"/>
      <protection hidden="1"/>
    </xf>
    <xf numFmtId="1" fontId="2" fillId="0" borderId="5" xfId="0" applyNumberFormat="1" applyFont="1" applyFill="1" applyBorder="1" applyAlignment="1" applyProtection="1">
      <alignment vertical="center"/>
      <protection hidden="1"/>
    </xf>
    <xf numFmtId="2" fontId="2" fillId="0" borderId="5" xfId="0" applyNumberFormat="1" applyFont="1" applyFill="1" applyBorder="1" applyAlignment="1" applyProtection="1">
      <alignment vertical="center"/>
      <protection hidden="1"/>
    </xf>
    <xf numFmtId="1" fontId="2" fillId="0" borderId="0" xfId="0" applyNumberFormat="1" applyFont="1" applyFill="1" applyBorder="1" applyAlignment="1" applyProtection="1">
      <alignment vertical="center"/>
      <protection hidden="1"/>
    </xf>
    <xf numFmtId="1" fontId="2" fillId="0" borderId="0" xfId="0" applyNumberFormat="1" applyFont="1" applyFill="1" applyAlignment="1" applyProtection="1">
      <alignment vertical="center"/>
      <protection hidden="1"/>
    </xf>
    <xf numFmtId="3" fontId="2" fillId="0" borderId="5" xfId="0" applyNumberFormat="1" applyFont="1" applyFill="1" applyBorder="1" applyAlignment="1" applyProtection="1">
      <alignment vertical="center"/>
      <protection hidden="1"/>
    </xf>
    <xf numFmtId="4" fontId="2" fillId="0" borderId="5" xfId="0" applyNumberFormat="1" applyFont="1" applyFill="1" applyBorder="1" applyAlignment="1" applyProtection="1">
      <alignment vertical="center"/>
      <protection hidden="1"/>
    </xf>
    <xf numFmtId="164" fontId="2" fillId="0" borderId="0" xfId="0" applyNumberFormat="1" applyFont="1" applyFill="1" applyAlignment="1" applyProtection="1">
      <alignment vertical="center"/>
      <protection hidden="1"/>
    </xf>
    <xf numFmtId="164" fontId="2" fillId="0" borderId="5" xfId="0" applyNumberFormat="1" applyFont="1" applyFill="1" applyBorder="1" applyAlignment="1" applyProtection="1">
      <alignment vertical="center"/>
      <protection hidden="1"/>
    </xf>
    <xf numFmtId="4" fontId="2" fillId="0" borderId="8" xfId="0" applyNumberFormat="1" applyFont="1" applyFill="1" applyBorder="1" applyAlignment="1" applyProtection="1">
      <alignment vertical="center"/>
      <protection hidden="1"/>
    </xf>
    <xf numFmtId="0" fontId="2" fillId="0" borderId="8" xfId="0" applyNumberFormat="1" applyFont="1" applyFill="1" applyBorder="1" applyAlignment="1" applyProtection="1">
      <alignment vertical="center"/>
      <protection hidden="1"/>
    </xf>
    <xf numFmtId="4" fontId="2" fillId="0" borderId="9" xfId="0" applyNumberFormat="1" applyFont="1" applyFill="1" applyBorder="1" applyAlignment="1" applyProtection="1">
      <alignment vertical="center"/>
      <protection hidden="1"/>
    </xf>
    <xf numFmtId="4" fontId="3" fillId="0" borderId="9" xfId="0" applyNumberFormat="1" applyFont="1" applyFill="1" applyBorder="1" applyAlignment="1" applyProtection="1">
      <alignment vertical="center"/>
      <protection hidden="1"/>
    </xf>
    <xf numFmtId="4" fontId="9" fillId="0" borderId="0" xfId="0" applyNumberFormat="1" applyFont="1" applyFill="1" applyBorder="1" applyAlignment="1" applyProtection="1">
      <alignment horizontal="center" vertical="center"/>
      <protection hidden="1"/>
    </xf>
    <xf numFmtId="4" fontId="9" fillId="0" borderId="1" xfId="0" applyNumberFormat="1" applyFont="1" applyFill="1" applyBorder="1" applyAlignment="1" applyProtection="1">
      <alignment horizontal="center" vertical="center"/>
      <protection hidden="1"/>
    </xf>
    <xf numFmtId="4" fontId="2" fillId="0" borderId="0" xfId="0" applyNumberFormat="1" applyFont="1" applyFill="1" applyAlignment="1" applyProtection="1">
      <alignment horizontal="center" vertical="center"/>
      <protection hidden="1"/>
    </xf>
    <xf numFmtId="49" fontId="2" fillId="0" borderId="5" xfId="0" applyNumberFormat="1" applyFont="1" applyBorder="1" applyAlignment="1" applyProtection="1">
      <alignment vertical="center"/>
      <protection locked="0"/>
    </xf>
    <xf numFmtId="49" fontId="2" fillId="0" borderId="0" xfId="0" applyNumberFormat="1" applyFont="1" applyAlignment="1" applyProtection="1">
      <alignment horizontal="right" vertical="center"/>
      <protection locked="0"/>
    </xf>
    <xf numFmtId="49" fontId="2" fillId="0" borderId="5" xfId="0" applyNumberFormat="1" applyFont="1" applyBorder="1" applyAlignment="1" applyProtection="1">
      <alignment horizontal="right" vertical="center"/>
      <protection locked="0"/>
    </xf>
    <xf numFmtId="49" fontId="3" fillId="0" borderId="5" xfId="0" applyNumberFormat="1" applyFont="1" applyBorder="1" applyAlignment="1" applyProtection="1">
      <alignment vertical="center"/>
      <protection locked="0"/>
    </xf>
    <xf numFmtId="4" fontId="2" fillId="0" borderId="5" xfId="0" applyNumberFormat="1" applyFont="1" applyBorder="1" applyAlignment="1" applyProtection="1">
      <alignment horizontal="right" vertical="center"/>
      <protection locked="0"/>
    </xf>
    <xf numFmtId="0" fontId="2" fillId="0" borderId="5" xfId="0" applyNumberFormat="1" applyFont="1" applyBorder="1" applyAlignment="1" applyProtection="1">
      <alignment horizontal="right" vertical="center"/>
      <protection locked="0"/>
    </xf>
    <xf numFmtId="49" fontId="2" fillId="0" borderId="5" xfId="0" applyNumberFormat="1" applyFont="1" applyBorder="1" applyAlignment="1" applyProtection="1">
      <alignment horizontal="right" vertical="center"/>
      <protection locked="0"/>
    </xf>
    <xf numFmtId="4" fontId="2" fillId="0" borderId="9" xfId="0" applyNumberFormat="1" applyFont="1" applyBorder="1" applyAlignment="1" applyProtection="1">
      <alignment vertical="center" wrapText="1"/>
      <protection locked="0"/>
    </xf>
    <xf numFmtId="49" fontId="2" fillId="0" borderId="8" xfId="0" applyNumberFormat="1" applyFont="1" applyBorder="1" applyAlignment="1" applyProtection="1">
      <alignment horizontal="right" vertical="center"/>
      <protection locked="0"/>
    </xf>
    <xf numFmtId="0" fontId="2" fillId="0" borderId="1" xfId="0" applyNumberFormat="1" applyFont="1" applyBorder="1" applyAlignment="1" applyProtection="1">
      <alignment vertical="center"/>
      <protection locked="0"/>
    </xf>
    <xf numFmtId="4" fontId="2" fillId="0" borderId="1" xfId="0" applyNumberFormat="1" applyFont="1" applyBorder="1" applyAlignment="1" applyProtection="1">
      <alignment vertical="center" wrapText="1"/>
      <protection locked="0"/>
    </xf>
    <xf numFmtId="4" fontId="2" fillId="0" borderId="6" xfId="0" applyNumberFormat="1" applyFont="1" applyBorder="1" applyAlignment="1" applyProtection="1">
      <alignment vertical="center" wrapText="1"/>
      <protection locked="0"/>
    </xf>
    <xf numFmtId="4" fontId="2" fillId="4" borderId="8" xfId="0" applyNumberFormat="1" applyFont="1" applyFill="1" applyBorder="1" applyAlignment="1" applyProtection="1">
      <alignment vertical="center" wrapText="1"/>
      <protection locked="0"/>
    </xf>
    <xf numFmtId="4" fontId="2" fillId="0" borderId="7" xfId="0" applyNumberFormat="1" applyFont="1" applyBorder="1" applyAlignment="1" applyProtection="1">
      <alignment vertical="center" wrapText="1"/>
      <protection locked="0"/>
    </xf>
    <xf numFmtId="0" fontId="2" fillId="0" borderId="5" xfId="0" applyNumberFormat="1" applyFont="1" applyFill="1" applyBorder="1" applyAlignment="1" applyProtection="1">
      <alignment vertical="center"/>
      <protection hidden="1"/>
    </xf>
    <xf numFmtId="4" fontId="2" fillId="0" borderId="2" xfId="0" applyNumberFormat="1" applyFont="1" applyFill="1" applyBorder="1" applyAlignment="1" applyProtection="1">
      <alignment vertical="center"/>
      <protection hidden="1"/>
    </xf>
    <xf numFmtId="1" fontId="2" fillId="7" borderId="0" xfId="0" applyNumberFormat="1" applyFont="1" applyFill="1" applyBorder="1" applyAlignment="1" applyProtection="1">
      <alignment vertical="center"/>
      <protection locked="0"/>
    </xf>
    <xf numFmtId="1" fontId="2" fillId="7" borderId="0" xfId="0" applyNumberFormat="1" applyFont="1" applyFill="1" applyAlignment="1" applyProtection="1">
      <alignment vertical="center"/>
      <protection locked="0"/>
    </xf>
    <xf numFmtId="0" fontId="2" fillId="7" borderId="5" xfId="0" applyNumberFormat="1" applyFont="1" applyFill="1" applyBorder="1" applyAlignment="1" applyProtection="1">
      <alignment vertical="center"/>
      <protection locked="0"/>
    </xf>
    <xf numFmtId="3" fontId="2" fillId="7" borderId="5" xfId="0" applyNumberFormat="1" applyFont="1" applyFill="1" applyBorder="1" applyAlignment="1" applyProtection="1">
      <alignment vertical="center"/>
      <protection locked="0"/>
    </xf>
    <xf numFmtId="164" fontId="2" fillId="7" borderId="0" xfId="0" applyNumberFormat="1" applyFont="1" applyFill="1" applyAlignment="1" applyProtection="1">
      <alignment vertical="center"/>
      <protection locked="0"/>
    </xf>
    <xf numFmtId="164" fontId="2" fillId="7" borderId="5" xfId="0" applyNumberFormat="1" applyFont="1" applyFill="1" applyBorder="1" applyAlignment="1" applyProtection="1">
      <alignment vertical="center"/>
      <protection locked="0"/>
    </xf>
    <xf numFmtId="4" fontId="2" fillId="7" borderId="8" xfId="0" applyNumberFormat="1" applyFont="1" applyFill="1" applyBorder="1" applyAlignment="1" applyProtection="1">
      <alignment vertical="center"/>
      <protection locked="0"/>
    </xf>
    <xf numFmtId="1" fontId="2" fillId="7" borderId="5" xfId="0" applyNumberFormat="1" applyFont="1" applyFill="1" applyBorder="1" applyAlignment="1" applyProtection="1">
      <alignment vertical="center"/>
      <protection locked="0"/>
    </xf>
    <xf numFmtId="2" fontId="2" fillId="7" borderId="5" xfId="0" applyNumberFormat="1" applyFont="1" applyFill="1" applyBorder="1" applyAlignment="1" applyProtection="1">
      <alignment vertical="center"/>
      <protection locked="0"/>
    </xf>
    <xf numFmtId="4" fontId="2" fillId="7" borderId="5" xfId="0" applyNumberFormat="1" applyFont="1" applyFill="1" applyBorder="1" applyAlignment="1" applyProtection="1">
      <alignment vertical="center"/>
      <protection locked="0"/>
    </xf>
    <xf numFmtId="0" fontId="7" fillId="7" borderId="0" xfId="0" applyFont="1" applyFill="1" applyAlignment="1" applyProtection="1">
      <alignment vertical="center" wrapText="1"/>
      <protection locked="0"/>
    </xf>
    <xf numFmtId="4" fontId="7" fillId="7" borderId="0" xfId="0" applyNumberFormat="1" applyFont="1" applyFill="1" applyAlignment="1" applyProtection="1">
      <alignment vertical="center" wrapText="1"/>
      <protection locked="0"/>
    </xf>
    <xf numFmtId="164" fontId="7" fillId="7" borderId="0" xfId="0" applyNumberFormat="1" applyFont="1" applyFill="1" applyAlignment="1" applyProtection="1">
      <alignment vertical="center" wrapText="1"/>
      <protection locked="0"/>
    </xf>
    <xf numFmtId="0" fontId="6" fillId="7" borderId="0" xfId="0" applyFont="1" applyFill="1" applyAlignment="1" applyProtection="1">
      <alignment horizontal="right" vertical="center" wrapText="1"/>
      <protection locked="0"/>
    </xf>
    <xf numFmtId="4" fontId="2" fillId="2" borderId="5" xfId="0" applyNumberFormat="1" applyFont="1" applyFill="1" applyBorder="1" applyAlignment="1" applyProtection="1">
      <alignment vertical="center"/>
      <protection hidden="1"/>
    </xf>
    <xf numFmtId="3" fontId="2" fillId="7" borderId="8" xfId="0" applyNumberFormat="1" applyFont="1" applyFill="1" applyBorder="1" applyAlignment="1" applyProtection="1">
      <alignment vertical="center"/>
      <protection locked="0"/>
    </xf>
    <xf numFmtId="4" fontId="2" fillId="7" borderId="8" xfId="0" applyNumberFormat="1" applyFont="1" applyFill="1" applyBorder="1" applyAlignment="1" applyProtection="1">
      <alignment vertical="center"/>
      <protection locked="0"/>
    </xf>
    <xf numFmtId="165" fontId="2" fillId="7" borderId="8" xfId="0" applyNumberFormat="1" applyFont="1" applyFill="1" applyBorder="1" applyAlignment="1" applyProtection="1">
      <alignment vertical="center"/>
      <protection locked="0"/>
    </xf>
    <xf numFmtId="1" fontId="2" fillId="7" borderId="8" xfId="0" applyNumberFormat="1" applyFont="1" applyFill="1" applyBorder="1" applyAlignment="1" applyProtection="1">
      <alignment vertical="center"/>
      <protection locked="0"/>
    </xf>
    <xf numFmtId="2" fontId="2" fillId="7" borderId="8" xfId="0" applyNumberFormat="1" applyFont="1" applyFill="1" applyBorder="1" applyAlignment="1" applyProtection="1">
      <alignment vertical="center"/>
      <protection locked="0"/>
    </xf>
    <xf numFmtId="164" fontId="2" fillId="7" borderId="8" xfId="0" applyNumberFormat="1" applyFont="1" applyFill="1" applyBorder="1" applyAlignment="1" applyProtection="1">
      <alignment vertical="center"/>
      <protection locked="0"/>
    </xf>
    <xf numFmtId="2" fontId="2" fillId="2" borderId="8" xfId="0" applyNumberFormat="1" applyFont="1" applyFill="1" applyBorder="1" applyAlignment="1" applyProtection="1">
      <alignment vertical="center"/>
      <protection locked="0"/>
    </xf>
    <xf numFmtId="4" fontId="2" fillId="2" borderId="8" xfId="0" applyNumberFormat="1" applyFont="1" applyFill="1" applyBorder="1" applyAlignment="1" applyProtection="1">
      <alignment vertical="center"/>
      <protection locked="0"/>
    </xf>
    <xf numFmtId="3" fontId="2" fillId="4" borderId="5" xfId="0" applyNumberFormat="1" applyFont="1" applyFill="1" applyBorder="1" applyAlignment="1" applyProtection="1">
      <alignment vertical="center"/>
      <protection/>
    </xf>
    <xf numFmtId="3" fontId="2" fillId="4" borderId="0" xfId="0" applyNumberFormat="1" applyFont="1" applyFill="1" applyAlignment="1" applyProtection="1">
      <alignment vertical="center"/>
      <protection/>
    </xf>
    <xf numFmtId="3" fontId="3" fillId="4" borderId="0" xfId="0" applyNumberFormat="1" applyFont="1" applyFill="1" applyAlignment="1" applyProtection="1">
      <alignment vertical="center"/>
      <protection/>
    </xf>
    <xf numFmtId="4" fontId="2" fillId="4" borderId="5" xfId="0" applyNumberFormat="1" applyFont="1" applyFill="1" applyBorder="1" applyAlignment="1" applyProtection="1">
      <alignment vertical="center"/>
      <protection/>
    </xf>
    <xf numFmtId="3" fontId="2" fillId="4" borderId="9" xfId="0" applyNumberFormat="1" applyFont="1" applyFill="1" applyBorder="1" applyAlignment="1" applyProtection="1">
      <alignment vertical="center"/>
      <protection/>
    </xf>
    <xf numFmtId="3" fontId="3" fillId="4" borderId="5" xfId="0" applyNumberFormat="1" applyFont="1" applyFill="1" applyBorder="1" applyAlignment="1" applyProtection="1">
      <alignment vertical="center"/>
      <protection/>
    </xf>
    <xf numFmtId="3" fontId="2" fillId="4" borderId="5" xfId="0" applyNumberFormat="1" applyFont="1" applyFill="1" applyBorder="1" applyAlignment="1" applyProtection="1">
      <alignment vertical="center"/>
      <protection/>
    </xf>
    <xf numFmtId="3" fontId="8" fillId="4" borderId="5" xfId="0" applyNumberFormat="1" applyFont="1" applyFill="1" applyBorder="1" applyAlignment="1" applyProtection="1">
      <alignment vertical="center"/>
      <protection/>
    </xf>
    <xf numFmtId="49" fontId="2" fillId="0" borderId="0" xfId="0" applyNumberFormat="1" applyFont="1" applyAlignment="1" applyProtection="1">
      <alignment horizontal="right" vertical="center"/>
      <protection hidden="1"/>
    </xf>
    <xf numFmtId="4" fontId="11" fillId="0" borderId="5" xfId="0" applyNumberFormat="1" applyFont="1" applyBorder="1" applyAlignment="1" applyProtection="1">
      <alignment vertical="center"/>
      <protection hidden="1"/>
    </xf>
    <xf numFmtId="4" fontId="11" fillId="4" borderId="10" xfId="0" applyNumberFormat="1" applyFont="1" applyFill="1" applyBorder="1" applyAlignment="1" applyProtection="1">
      <alignment vertical="center"/>
      <protection hidden="1"/>
    </xf>
    <xf numFmtId="49" fontId="59" fillId="0" borderId="5" xfId="0" applyNumberFormat="1" applyFont="1" applyBorder="1" applyAlignment="1" applyProtection="1">
      <alignment vertical="center"/>
      <protection hidden="1"/>
    </xf>
    <xf numFmtId="0" fontId="1" fillId="0" borderId="0" xfId="0" applyFont="1" applyAlignment="1">
      <alignment/>
    </xf>
    <xf numFmtId="0" fontId="7" fillId="0" borderId="0" xfId="0" applyFont="1" applyAlignment="1" applyProtection="1">
      <alignment vertical="center"/>
      <protection hidden="1"/>
    </xf>
    <xf numFmtId="0" fontId="7" fillId="0" borderId="0" xfId="0" applyFont="1" applyAlignment="1" applyProtection="1">
      <alignment horizontal="center" vertical="center"/>
      <protection hidden="1"/>
    </xf>
    <xf numFmtId="0" fontId="2" fillId="0" borderId="0" xfId="0" applyFont="1" applyFill="1" applyAlignment="1" applyProtection="1">
      <alignment vertical="center" wrapText="1"/>
      <protection hidden="1"/>
    </xf>
    <xf numFmtId="0" fontId="7" fillId="0" borderId="0" xfId="0" applyFont="1" applyFill="1" applyAlignment="1" applyProtection="1">
      <alignment vertical="center" wrapText="1"/>
      <protection locked="0"/>
    </xf>
    <xf numFmtId="49" fontId="59" fillId="0" borderId="0" xfId="0" applyNumberFormat="1" applyFont="1" applyBorder="1" applyAlignment="1" applyProtection="1">
      <alignment vertical="center"/>
      <protection hidden="1"/>
    </xf>
    <xf numFmtId="165" fontId="11" fillId="0" borderId="0" xfId="0" applyNumberFormat="1" applyFont="1" applyAlignment="1" applyProtection="1">
      <alignment vertical="center"/>
      <protection hidden="1"/>
    </xf>
    <xf numFmtId="0" fontId="32" fillId="0" borderId="0" xfId="0" applyFont="1" applyAlignment="1" applyProtection="1">
      <alignment horizontal="left" wrapText="1"/>
      <protection hidden="1"/>
    </xf>
    <xf numFmtId="0" fontId="31" fillId="0" borderId="0" xfId="0" applyFont="1" applyAlignment="1" applyProtection="1">
      <alignment horizontal="left" wrapText="1"/>
      <protection hidden="1"/>
    </xf>
    <xf numFmtId="0" fontId="0" fillId="0" borderId="0" xfId="0" applyFont="1" applyAlignment="1" applyProtection="1">
      <alignment horizontal="left" wrapText="1"/>
      <protection hidden="1"/>
    </xf>
    <xf numFmtId="49" fontId="62" fillId="0" borderId="0" xfId="0" applyNumberFormat="1" applyFont="1" applyAlignment="1" applyProtection="1">
      <alignment horizontal="center" wrapText="1"/>
      <protection hidden="1"/>
    </xf>
    <xf numFmtId="49" fontId="2" fillId="7" borderId="10" xfId="0" applyNumberFormat="1" applyFont="1" applyFill="1" applyBorder="1" applyAlignment="1" applyProtection="1">
      <alignment vertical="center"/>
      <protection locked="0"/>
    </xf>
    <xf numFmtId="49" fontId="2" fillId="7" borderId="10" xfId="0" applyNumberFormat="1" applyFont="1" applyFill="1" applyBorder="1" applyAlignment="1" applyProtection="1">
      <alignment vertical="center"/>
      <protection locked="0"/>
    </xf>
    <xf numFmtId="4" fontId="2" fillId="7" borderId="10" xfId="0" applyNumberFormat="1" applyFont="1" applyFill="1" applyBorder="1" applyAlignment="1" applyProtection="1">
      <alignment vertical="center"/>
      <protection locked="0"/>
    </xf>
    <xf numFmtId="4" fontId="0" fillId="7" borderId="0" xfId="0" applyNumberFormat="1" applyFont="1" applyFill="1" applyBorder="1" applyAlignment="1" applyProtection="1">
      <alignment vertical="center"/>
      <protection locked="0"/>
    </xf>
    <xf numFmtId="4" fontId="3" fillId="0" borderId="9" xfId="0" applyNumberFormat="1" applyFont="1" applyFill="1" applyBorder="1" applyAlignment="1" applyProtection="1">
      <alignment vertical="center"/>
      <protection locked="0"/>
    </xf>
    <xf numFmtId="49" fontId="2" fillId="0" borderId="0" xfId="0" applyNumberFormat="1" applyFont="1" applyFill="1" applyBorder="1" applyAlignment="1" applyProtection="1">
      <alignment vertical="center"/>
      <protection/>
    </xf>
    <xf numFmtId="49" fontId="3" fillId="7" borderId="0" xfId="0" applyNumberFormat="1" applyFont="1" applyFill="1" applyBorder="1" applyAlignment="1" applyProtection="1">
      <alignment vertical="center"/>
      <protection locked="0"/>
    </xf>
    <xf numFmtId="4" fontId="3" fillId="7" borderId="0" xfId="0" applyNumberFormat="1" applyFont="1" applyFill="1" applyBorder="1" applyAlignment="1" applyProtection="1">
      <alignment vertical="center"/>
      <protection locked="0"/>
    </xf>
    <xf numFmtId="49" fontId="3" fillId="0" borderId="0" xfId="0" applyNumberFormat="1" applyFont="1" applyFill="1" applyBorder="1" applyAlignment="1" applyProtection="1">
      <alignment vertical="center"/>
      <protection/>
    </xf>
    <xf numFmtId="2" fontId="16" fillId="0" borderId="0" xfId="0" applyNumberFormat="1" applyFont="1" applyAlignment="1" applyProtection="1">
      <alignment vertical="center"/>
      <protection hidden="1"/>
    </xf>
    <xf numFmtId="4" fontId="3" fillId="0" borderId="13" xfId="0" applyNumberFormat="1" applyFont="1" applyBorder="1" applyAlignment="1" applyProtection="1">
      <alignment vertical="center"/>
      <protection hidden="1"/>
    </xf>
    <xf numFmtId="3" fontId="2" fillId="0" borderId="13" xfId="0" applyNumberFormat="1" applyFont="1" applyBorder="1" applyAlignment="1" applyProtection="1">
      <alignment vertical="center"/>
      <protection hidden="1"/>
    </xf>
    <xf numFmtId="173" fontId="3" fillId="8" borderId="0" xfId="0" applyNumberFormat="1" applyFont="1" applyFill="1" applyAlignment="1" applyProtection="1">
      <alignment vertical="center"/>
      <protection locked="0"/>
    </xf>
    <xf numFmtId="173" fontId="3" fillId="8" borderId="1" xfId="0" applyNumberFormat="1" applyFont="1" applyFill="1" applyBorder="1" applyAlignment="1" applyProtection="1">
      <alignment vertical="center"/>
      <protection locked="0"/>
    </xf>
    <xf numFmtId="4" fontId="2" fillId="7" borderId="1" xfId="0" applyNumberFormat="1" applyFont="1" applyFill="1" applyBorder="1" applyAlignment="1" applyProtection="1">
      <alignment vertical="center"/>
      <protection locked="0"/>
    </xf>
    <xf numFmtId="173" fontId="2" fillId="7" borderId="1" xfId="0" applyNumberFormat="1" applyFont="1" applyFill="1" applyBorder="1" applyAlignment="1" applyProtection="1">
      <alignment vertical="center"/>
      <protection locked="0"/>
    </xf>
    <xf numFmtId="4" fontId="2" fillId="0" borderId="1" xfId="0" applyNumberFormat="1" applyFont="1" applyFill="1" applyBorder="1" applyAlignment="1" applyProtection="1">
      <alignment vertical="center"/>
      <protection hidden="1"/>
    </xf>
    <xf numFmtId="173" fontId="3" fillId="7" borderId="13" xfId="0" applyNumberFormat="1" applyFont="1" applyFill="1" applyBorder="1" applyAlignment="1" applyProtection="1">
      <alignment vertical="center"/>
      <protection locked="0"/>
    </xf>
    <xf numFmtId="165" fontId="11" fillId="0" borderId="0" xfId="0" applyNumberFormat="1" applyFont="1" applyFill="1" applyAlignment="1" applyProtection="1">
      <alignment vertical="center"/>
      <protection hidden="1"/>
    </xf>
    <xf numFmtId="0" fontId="1" fillId="2" borderId="0" xfId="0" applyFont="1" applyFill="1" applyAlignment="1" applyProtection="1">
      <alignment horizontal="left" wrapText="1"/>
      <protection hidden="1"/>
    </xf>
    <xf numFmtId="0" fontId="0" fillId="0" borderId="0" xfId="0" applyFont="1" applyFill="1" applyAlignment="1" applyProtection="1">
      <alignment horizontal="left" wrapText="1"/>
      <protection hidden="1"/>
    </xf>
    <xf numFmtId="0" fontId="0" fillId="0" borderId="0" xfId="20" applyFont="1" applyAlignment="1" applyProtection="1">
      <alignment horizontal="left" wrapText="1"/>
      <protection hidden="1"/>
    </xf>
    <xf numFmtId="0" fontId="1" fillId="2" borderId="0" xfId="0" applyFont="1" applyFill="1" applyAlignment="1" applyProtection="1">
      <alignment horizontal="left" wrapText="1"/>
      <protection hidden="1"/>
    </xf>
    <xf numFmtId="3" fontId="2" fillId="0" borderId="0" xfId="0" applyNumberFormat="1" applyFont="1" applyAlignment="1" applyProtection="1">
      <alignment horizontal="center" vertical="center"/>
      <protection hidden="1"/>
    </xf>
    <xf numFmtId="49" fontId="2" fillId="0" borderId="0" xfId="0" applyNumberFormat="1" applyFont="1" applyFill="1" applyAlignment="1" applyProtection="1">
      <alignment vertical="center"/>
      <protection hidden="1"/>
    </xf>
    <xf numFmtId="49" fontId="0" fillId="0" borderId="15" xfId="0" applyNumberFormat="1" applyFont="1" applyBorder="1" applyAlignment="1" applyProtection="1">
      <alignment vertical="center"/>
      <protection hidden="1"/>
    </xf>
    <xf numFmtId="4" fontId="0" fillId="0" borderId="4" xfId="0" applyNumberFormat="1" applyFont="1" applyBorder="1" applyAlignment="1" applyProtection="1">
      <alignment vertical="center"/>
      <protection hidden="1"/>
    </xf>
    <xf numFmtId="49" fontId="2" fillId="0" borderId="0" xfId="0" applyNumberFormat="1" applyFont="1" applyFill="1" applyBorder="1" applyAlignment="1" applyProtection="1">
      <alignment vertical="center"/>
      <protection hidden="1"/>
    </xf>
    <xf numFmtId="49" fontId="2" fillId="0" borderId="15" xfId="0" applyNumberFormat="1" applyFont="1" applyFill="1" applyBorder="1" applyAlignment="1" applyProtection="1">
      <alignment horizontal="center" vertical="center"/>
      <protection hidden="1"/>
    </xf>
    <xf numFmtId="4" fontId="2" fillId="0" borderId="4" xfId="0" applyNumberFormat="1" applyFont="1" applyFill="1" applyBorder="1" applyAlignment="1" applyProtection="1">
      <alignment horizontal="left" vertical="center"/>
      <protection hidden="1"/>
    </xf>
    <xf numFmtId="49" fontId="2" fillId="0" borderId="1" xfId="0" applyNumberFormat="1" applyFont="1" applyFill="1" applyBorder="1" applyAlignment="1" applyProtection="1">
      <alignment vertical="center"/>
      <protection hidden="1"/>
    </xf>
    <xf numFmtId="4" fontId="2" fillId="0" borderId="1" xfId="0" applyNumberFormat="1" applyFont="1" applyFill="1" applyBorder="1" applyAlignment="1" applyProtection="1">
      <alignment vertical="center"/>
      <protection hidden="1"/>
    </xf>
    <xf numFmtId="3" fontId="2" fillId="0" borderId="9" xfId="0" applyNumberFormat="1" applyFont="1" applyFill="1" applyBorder="1" applyAlignment="1" applyProtection="1">
      <alignment horizontal="left" vertical="center"/>
      <protection hidden="1"/>
    </xf>
    <xf numFmtId="3" fontId="15" fillId="0" borderId="0" xfId="0" applyNumberFormat="1" applyFont="1" applyAlignment="1" applyProtection="1">
      <alignment horizontal="right" vertical="center"/>
      <protection hidden="1"/>
    </xf>
    <xf numFmtId="165" fontId="2" fillId="0" borderId="9" xfId="0" applyNumberFormat="1" applyFont="1" applyFill="1" applyBorder="1" applyAlignment="1" applyProtection="1">
      <alignment horizontal="left" vertical="center"/>
      <protection hidden="1"/>
    </xf>
    <xf numFmtId="165" fontId="2" fillId="0" borderId="9" xfId="0" applyNumberFormat="1" applyFont="1" applyBorder="1" applyAlignment="1" applyProtection="1">
      <alignment horizontal="left" vertical="center"/>
      <protection hidden="1"/>
    </xf>
    <xf numFmtId="0" fontId="0" fillId="2" borderId="0" xfId="0" applyFont="1" applyFill="1" applyAlignment="1" applyProtection="1">
      <alignment horizontal="left" wrapText="1"/>
      <protection hidden="1"/>
    </xf>
    <xf numFmtId="0" fontId="58" fillId="2" borderId="0" xfId="0" applyFont="1" applyFill="1" applyAlignment="1" applyProtection="1">
      <alignment horizontal="left" wrapText="1"/>
      <protection hidden="1"/>
    </xf>
    <xf numFmtId="4" fontId="2" fillId="0" borderId="0" xfId="0" applyNumberFormat="1" applyFont="1" applyFill="1" applyAlignment="1" applyProtection="1">
      <alignment horizontal="center" vertical="center"/>
      <protection locked="0"/>
    </xf>
    <xf numFmtId="49" fontId="2" fillId="0" borderId="0" xfId="0" applyNumberFormat="1" applyFont="1" applyFill="1" applyBorder="1" applyAlignment="1" applyProtection="1">
      <alignment horizontal="center" vertical="center"/>
      <protection locked="0"/>
    </xf>
    <xf numFmtId="0" fontId="0" fillId="0" borderId="0" xfId="0" applyNumberFormat="1" applyFont="1" applyAlignment="1" applyProtection="1">
      <alignment horizontal="left" wrapText="1"/>
      <protection hidden="1"/>
    </xf>
    <xf numFmtId="0" fontId="3" fillId="0" borderId="0" xfId="0" applyFont="1" applyAlignment="1" applyProtection="1">
      <alignment vertical="center"/>
      <protection hidden="1"/>
    </xf>
    <xf numFmtId="3" fontId="55" fillId="2" borderId="11" xfId="0" applyNumberFormat="1" applyFont="1" applyFill="1" applyBorder="1" applyAlignment="1" applyProtection="1">
      <alignment horizontal="center" vertical="center"/>
      <protection hidden="1"/>
    </xf>
    <xf numFmtId="4" fontId="7" fillId="0" borderId="0" xfId="0" applyNumberFormat="1" applyFont="1" applyAlignment="1" applyProtection="1">
      <alignment vertical="center"/>
      <protection hidden="1"/>
    </xf>
    <xf numFmtId="4" fontId="7" fillId="7" borderId="0" xfId="0" applyNumberFormat="1" applyFont="1" applyFill="1" applyBorder="1" applyAlignment="1" applyProtection="1">
      <alignment vertical="center"/>
      <protection locked="0"/>
    </xf>
    <xf numFmtId="4" fontId="7" fillId="7" borderId="0" xfId="0" applyNumberFormat="1" applyFont="1" applyFill="1" applyAlignment="1" applyProtection="1">
      <alignment vertical="center"/>
      <protection locked="0"/>
    </xf>
    <xf numFmtId="49" fontId="7" fillId="0" borderId="10" xfId="0" applyNumberFormat="1" applyFont="1" applyBorder="1" applyAlignment="1" applyProtection="1">
      <alignment vertical="center"/>
      <protection hidden="1"/>
    </xf>
    <xf numFmtId="49" fontId="7" fillId="7" borderId="0" xfId="0" applyNumberFormat="1" applyFont="1" applyFill="1" applyBorder="1" applyAlignment="1" applyProtection="1">
      <alignment horizontal="left" vertical="center"/>
      <protection locked="0"/>
    </xf>
    <xf numFmtId="4" fontId="2" fillId="7" borderId="0" xfId="0" applyNumberFormat="1" applyFont="1" applyFill="1" applyBorder="1" applyAlignment="1" applyProtection="1">
      <alignment vertical="center"/>
      <protection locked="0"/>
    </xf>
    <xf numFmtId="3" fontId="7" fillId="7" borderId="9" xfId="0" applyNumberFormat="1" applyFont="1" applyFill="1" applyBorder="1" applyAlignment="1" applyProtection="1">
      <alignment horizontal="left" vertical="center"/>
      <protection locked="0"/>
    </xf>
    <xf numFmtId="4" fontId="2" fillId="7" borderId="0" xfId="0" applyNumberFormat="1" applyFont="1" applyFill="1" applyAlignment="1" applyProtection="1">
      <alignment vertical="center" wrapText="1"/>
      <protection locked="0"/>
    </xf>
    <xf numFmtId="3" fontId="2" fillId="0" borderId="0" xfId="0" applyNumberFormat="1" applyFont="1" applyFill="1" applyAlignment="1" applyProtection="1">
      <alignment vertical="center"/>
      <protection hidden="1"/>
    </xf>
    <xf numFmtId="4" fontId="7" fillId="0" borderId="0" xfId="0" applyNumberFormat="1" applyFont="1" applyAlignment="1" applyProtection="1">
      <alignment vertical="center" wrapText="1"/>
      <protection hidden="1"/>
    </xf>
    <xf numFmtId="4" fontId="2" fillId="0" borderId="0" xfId="0" applyNumberFormat="1" applyFont="1" applyFill="1" applyBorder="1" applyAlignment="1" applyProtection="1">
      <alignment vertical="center" wrapText="1"/>
      <protection hidden="1"/>
    </xf>
    <xf numFmtId="4" fontId="7" fillId="0" borderId="0" xfId="0" applyNumberFormat="1" applyFont="1" applyAlignment="1" applyProtection="1">
      <alignment vertical="center"/>
      <protection hidden="1"/>
    </xf>
    <xf numFmtId="4" fontId="3" fillId="0" borderId="0" xfId="0" applyNumberFormat="1" applyFont="1" applyAlignment="1" applyProtection="1">
      <alignment vertical="center" wrapText="1"/>
      <protection hidden="1"/>
    </xf>
    <xf numFmtId="4" fontId="11" fillId="0" borderId="0" xfId="0" applyNumberFormat="1" applyFont="1" applyAlignment="1" applyProtection="1">
      <alignment horizontal="center" vertical="center"/>
      <protection hidden="1"/>
    </xf>
    <xf numFmtId="49" fontId="3" fillId="0" borderId="0" xfId="0" applyNumberFormat="1" applyFont="1" applyBorder="1" applyAlignment="1" applyProtection="1">
      <alignment vertical="center"/>
      <protection hidden="1"/>
    </xf>
    <xf numFmtId="4" fontId="7" fillId="0" borderId="0" xfId="0" applyNumberFormat="1" applyFont="1" applyBorder="1" applyAlignment="1" applyProtection="1">
      <alignment vertical="center"/>
      <protection hidden="1"/>
    </xf>
    <xf numFmtId="49" fontId="7" fillId="0" borderId="0" xfId="0" applyNumberFormat="1" applyFont="1" applyBorder="1" applyAlignment="1" applyProtection="1">
      <alignment vertical="center"/>
      <protection hidden="1"/>
    </xf>
    <xf numFmtId="4" fontId="2" fillId="0" borderId="0" xfId="0" applyNumberFormat="1" applyFont="1" applyBorder="1" applyAlignment="1" applyProtection="1">
      <alignment vertical="center" wrapText="1"/>
      <protection locked="0"/>
    </xf>
    <xf numFmtId="4" fontId="2" fillId="0" borderId="1" xfId="0" applyNumberFormat="1" applyFont="1" applyBorder="1" applyAlignment="1" applyProtection="1">
      <alignment vertical="center" wrapText="1"/>
      <protection locked="0"/>
    </xf>
    <xf numFmtId="4" fontId="8" fillId="0" borderId="9" xfId="0" applyNumberFormat="1" applyFont="1" applyBorder="1" applyAlignment="1" applyProtection="1">
      <alignment vertical="center"/>
      <protection hidden="1"/>
    </xf>
    <xf numFmtId="4" fontId="0" fillId="0" borderId="9" xfId="0" applyNumberFormat="1" applyFont="1" applyBorder="1" applyAlignment="1" applyProtection="1">
      <alignment vertical="center"/>
      <protection hidden="1"/>
    </xf>
    <xf numFmtId="4" fontId="2" fillId="0" borderId="9" xfId="0" applyNumberFormat="1" applyFont="1" applyBorder="1" applyAlignment="1" applyProtection="1">
      <alignment vertical="center" wrapText="1"/>
      <protection hidden="1"/>
    </xf>
    <xf numFmtId="4" fontId="2" fillId="0" borderId="9" xfId="0" applyNumberFormat="1" applyFont="1" applyBorder="1" applyAlignment="1" applyProtection="1">
      <alignment vertical="center" wrapText="1"/>
      <protection locked="0"/>
    </xf>
    <xf numFmtId="4" fontId="2" fillId="7" borderId="9" xfId="0" applyNumberFormat="1" applyFont="1" applyFill="1" applyBorder="1" applyAlignment="1" applyProtection="1">
      <alignment vertical="center" wrapText="1"/>
      <protection locked="0"/>
    </xf>
    <xf numFmtId="3" fontId="8" fillId="0" borderId="0" xfId="0" applyNumberFormat="1" applyFont="1" applyFill="1" applyBorder="1" applyAlignment="1" applyProtection="1">
      <alignment vertical="center"/>
      <protection hidden="1"/>
    </xf>
    <xf numFmtId="49" fontId="0" fillId="0" borderId="5" xfId="0" applyNumberFormat="1" applyFont="1" applyBorder="1" applyAlignment="1" applyProtection="1">
      <alignment vertical="center"/>
      <protection hidden="1"/>
    </xf>
    <xf numFmtId="3" fontId="3" fillId="0" borderId="0" xfId="0" applyNumberFormat="1" applyFont="1" applyFill="1" applyBorder="1" applyAlignment="1" applyProtection="1">
      <alignment vertical="center"/>
      <protection hidden="1"/>
    </xf>
    <xf numFmtId="4" fontId="3" fillId="0" borderId="0" xfId="0" applyNumberFormat="1" applyFont="1" applyAlignment="1" applyProtection="1">
      <alignment horizontal="center" vertical="center"/>
      <protection hidden="1"/>
    </xf>
    <xf numFmtId="4" fontId="9" fillId="0" borderId="0" xfId="0" applyNumberFormat="1" applyFont="1" applyFill="1" applyBorder="1" applyAlignment="1" applyProtection="1">
      <alignment horizontal="center" vertical="center"/>
      <protection hidden="1"/>
    </xf>
    <xf numFmtId="0" fontId="0" fillId="0" borderId="0" xfId="0" applyFont="1" applyAlignment="1">
      <alignment wrapText="1"/>
    </xf>
    <xf numFmtId="0" fontId="3" fillId="2" borderId="0" xfId="0" applyFont="1" applyFill="1" applyAlignment="1" applyProtection="1">
      <alignment vertical="center"/>
      <protection hidden="1"/>
    </xf>
    <xf numFmtId="49" fontId="8" fillId="0" borderId="5" xfId="0" applyNumberFormat="1" applyFont="1" applyBorder="1" applyAlignment="1" applyProtection="1">
      <alignment vertical="center"/>
      <protection hidden="1"/>
    </xf>
    <xf numFmtId="165" fontId="2" fillId="7" borderId="9" xfId="0" applyNumberFormat="1" applyFont="1" applyFill="1" applyBorder="1" applyAlignment="1" applyProtection="1">
      <alignment vertical="center"/>
      <protection locked="0"/>
    </xf>
    <xf numFmtId="165" fontId="2" fillId="0" borderId="9" xfId="0" applyNumberFormat="1" applyFont="1" applyFill="1" applyBorder="1" applyAlignment="1" applyProtection="1">
      <alignment horizontal="left" vertical="center"/>
      <protection hidden="1"/>
    </xf>
    <xf numFmtId="4" fontId="2" fillId="0" borderId="0" xfId="0" applyNumberFormat="1" applyFont="1" applyAlignment="1" applyProtection="1">
      <alignment horizontal="left" vertical="center"/>
      <protection hidden="1"/>
    </xf>
    <xf numFmtId="165" fontId="2" fillId="0" borderId="5" xfId="0" applyNumberFormat="1" applyFont="1" applyFill="1" applyBorder="1" applyAlignment="1" applyProtection="1">
      <alignment vertical="center"/>
      <protection hidden="1"/>
    </xf>
    <xf numFmtId="164" fontId="2" fillId="0" borderId="5" xfId="0" applyNumberFormat="1" applyFont="1" applyBorder="1" applyAlignment="1" applyProtection="1">
      <alignment vertical="center"/>
      <protection hidden="1"/>
    </xf>
    <xf numFmtId="164" fontId="2" fillId="0" borderId="5" xfId="0" applyNumberFormat="1" applyFont="1" applyFill="1" applyBorder="1" applyAlignment="1" applyProtection="1">
      <alignment vertical="center"/>
      <protection hidden="1"/>
    </xf>
    <xf numFmtId="165" fontId="2" fillId="7" borderId="5" xfId="0" applyNumberFormat="1" applyFont="1" applyFill="1" applyBorder="1" applyAlignment="1" applyProtection="1">
      <alignment vertical="center"/>
      <protection locked="0"/>
    </xf>
    <xf numFmtId="4" fontId="2" fillId="0" borderId="1" xfId="0" applyNumberFormat="1" applyFont="1" applyBorder="1" applyAlignment="1" applyProtection="1">
      <alignment horizontal="center" vertical="center"/>
      <protection hidden="1"/>
    </xf>
    <xf numFmtId="49" fontId="3" fillId="0" borderId="0" xfId="0" applyNumberFormat="1" applyFont="1" applyAlignment="1" applyProtection="1">
      <alignment vertical="center"/>
      <protection hidden="1"/>
    </xf>
    <xf numFmtId="3" fontId="2" fillId="3" borderId="5" xfId="0" applyNumberFormat="1" applyFont="1" applyFill="1" applyBorder="1" applyAlignment="1" applyProtection="1">
      <alignment vertical="center"/>
      <protection hidden="1"/>
    </xf>
    <xf numFmtId="3" fontId="2" fillId="0" borderId="8" xfId="0" applyNumberFormat="1" applyFont="1" applyBorder="1" applyAlignment="1" applyProtection="1">
      <alignment vertical="center"/>
      <protection hidden="1"/>
    </xf>
    <xf numFmtId="3" fontId="2" fillId="3" borderId="11" xfId="0" applyNumberFormat="1" applyFont="1" applyFill="1" applyBorder="1" applyAlignment="1" applyProtection="1">
      <alignment vertical="center"/>
      <protection hidden="1"/>
    </xf>
    <xf numFmtId="0" fontId="0" fillId="0" borderId="0" xfId="0" applyNumberFormat="1" applyFont="1" applyAlignment="1" applyProtection="1">
      <alignment horizontal="left" wrapText="1"/>
      <protection hidden="1"/>
    </xf>
    <xf numFmtId="3" fontId="7" fillId="7" borderId="0" xfId="0" applyNumberFormat="1" applyFont="1" applyFill="1" applyAlignment="1" applyProtection="1">
      <alignment vertical="center" wrapText="1"/>
      <protection locked="0"/>
    </xf>
    <xf numFmtId="0" fontId="65" fillId="0" borderId="0" xfId="0" applyFont="1" applyAlignment="1" applyProtection="1">
      <alignment horizontal="left" wrapText="1"/>
      <protection hidden="1"/>
    </xf>
    <xf numFmtId="0" fontId="0" fillId="2" borderId="0" xfId="0" applyFont="1" applyFill="1" applyAlignment="1" applyProtection="1">
      <alignment horizontal="left" wrapText="1"/>
      <protection hidden="1"/>
    </xf>
    <xf numFmtId="0" fontId="4" fillId="0" borderId="0" xfId="20" applyAlignment="1" applyProtection="1">
      <alignment horizontal="left" wrapText="1"/>
      <protection hidden="1" locked="0"/>
    </xf>
    <xf numFmtId="0" fontId="4" fillId="0" borderId="0" xfId="20" applyFont="1" applyAlignment="1" applyProtection="1">
      <alignment horizontal="left" wrapText="1"/>
      <protection hidden="1"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ont>
        <color rgb="FF008000"/>
      </font>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image" Target="../media/image8.jpeg" /></Relationships>
</file>

<file path=xl/charts/_rels/chart10.xml.rels><?xml version="1.0" encoding="utf-8" standalone="yes"?><Relationships xmlns="http://schemas.openxmlformats.org/package/2006/relationships"><Relationship Id="rId1" Type="http://schemas.openxmlformats.org/officeDocument/2006/relationships/image" Target="../media/image17.jpeg" /></Relationships>
</file>

<file path=xl/charts/_rels/chart11.xml.rels><?xml version="1.0" encoding="utf-8" standalone="yes"?><Relationships xmlns="http://schemas.openxmlformats.org/package/2006/relationships"><Relationship Id="rId1" Type="http://schemas.openxmlformats.org/officeDocument/2006/relationships/image" Target="../media/image18.jpeg" /></Relationships>
</file>

<file path=xl/charts/_rels/chart2.xml.rels><?xml version="1.0" encoding="utf-8" standalone="yes"?><Relationships xmlns="http://schemas.openxmlformats.org/package/2006/relationships"><Relationship Id="rId1" Type="http://schemas.openxmlformats.org/officeDocument/2006/relationships/image" Target="../media/image9.jpeg" /></Relationships>
</file>

<file path=xl/charts/_rels/chart3.xml.rels><?xml version="1.0" encoding="utf-8" standalone="yes"?><Relationships xmlns="http://schemas.openxmlformats.org/package/2006/relationships"><Relationship Id="rId1" Type="http://schemas.openxmlformats.org/officeDocument/2006/relationships/image" Target="../media/image10.jpeg" /></Relationships>
</file>

<file path=xl/charts/_rels/chart4.xml.rels><?xml version="1.0" encoding="utf-8" standalone="yes"?><Relationships xmlns="http://schemas.openxmlformats.org/package/2006/relationships"><Relationship Id="rId1" Type="http://schemas.openxmlformats.org/officeDocument/2006/relationships/image" Target="../media/image11.jpeg" /></Relationships>
</file>

<file path=xl/charts/_rels/chart5.xml.rels><?xml version="1.0" encoding="utf-8" standalone="yes"?><Relationships xmlns="http://schemas.openxmlformats.org/package/2006/relationships"><Relationship Id="rId1" Type="http://schemas.openxmlformats.org/officeDocument/2006/relationships/image" Target="../media/image12.jpeg" /></Relationships>
</file>

<file path=xl/charts/_rels/chart6.xml.rels><?xml version="1.0" encoding="utf-8" standalone="yes"?><Relationships xmlns="http://schemas.openxmlformats.org/package/2006/relationships"><Relationship Id="rId1" Type="http://schemas.openxmlformats.org/officeDocument/2006/relationships/image" Target="../media/image13.jpeg" /></Relationships>
</file>

<file path=xl/charts/_rels/chart7.xml.rels><?xml version="1.0" encoding="utf-8" standalone="yes"?><Relationships xmlns="http://schemas.openxmlformats.org/package/2006/relationships"><Relationship Id="rId1" Type="http://schemas.openxmlformats.org/officeDocument/2006/relationships/image" Target="../media/image14.jpeg" /></Relationships>
</file>

<file path=xl/charts/_rels/chart8.xml.rels><?xml version="1.0" encoding="utf-8" standalone="yes"?><Relationships xmlns="http://schemas.openxmlformats.org/package/2006/relationships"><Relationship Id="rId1" Type="http://schemas.openxmlformats.org/officeDocument/2006/relationships/image" Target="../media/image15.jpeg" /></Relationships>
</file>

<file path=xl/charts/_rels/chart9.xml.rels><?xml version="1.0" encoding="utf-8" standalone="yes"?><Relationships xmlns="http://schemas.openxmlformats.org/package/2006/relationships"><Relationship Id="rId1" Type="http://schemas.openxmlformats.org/officeDocument/2006/relationships/image" Target="../media/image16.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50" b="1" i="0" u="none" baseline="0">
                <a:latin typeface="Arial"/>
                <a:ea typeface="Arial"/>
                <a:cs typeface="Arial"/>
              </a:rPr>
              <a:t>Energian kulutus </a:t>
            </a:r>
          </a:p>
        </c:rich>
      </c:tx>
      <c:layout/>
      <c:spPr>
        <a:noFill/>
        <a:ln>
          <a:noFill/>
        </a:ln>
      </c:spPr>
    </c:title>
    <c:plotArea>
      <c:layout/>
      <c:barChart>
        <c:barDir val="col"/>
        <c:grouping val="stacked"/>
        <c:varyColors val="0"/>
        <c:ser>
          <c:idx val="0"/>
          <c:order val="0"/>
          <c:tx>
            <c:v>Tilojen lämmitys</c:v>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val>
            <c:numRef>
              <c:f>'ET-luvun Laskenta'!$AE$18:$AE$29</c:f>
              <c:numCache/>
            </c:numRef>
          </c:val>
        </c:ser>
        <c:ser>
          <c:idx val="1"/>
          <c:order val="1"/>
          <c:tx>
            <c:v>Käyttöveden lämmitys</c:v>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val>
            <c:numRef>
              <c:f>'ET-luvun Laskenta'!$AF$18:$AF$29</c:f>
              <c:numCache/>
            </c:numRef>
          </c:val>
        </c:ser>
        <c:ser>
          <c:idx val="2"/>
          <c:order val="2"/>
          <c:tx>
            <c:v>Taloussähkö</c:v>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val>
            <c:numRef>
              <c:f>'ET-luvun Laskenta'!$W$18:$W$29</c:f>
              <c:numCache/>
            </c:numRef>
          </c:val>
        </c:ser>
        <c:overlap val="100"/>
        <c:gapWidth val="70"/>
        <c:axId val="11720736"/>
        <c:axId val="38377761"/>
      </c:barChart>
      <c:catAx>
        <c:axId val="11720736"/>
        <c:scaling>
          <c:orientation val="minMax"/>
        </c:scaling>
        <c:axPos val="b"/>
        <c:delete val="0"/>
        <c:numFmt formatCode="General" sourceLinked="1"/>
        <c:majorTickMark val="out"/>
        <c:minorTickMark val="none"/>
        <c:tickLblPos val="nextTo"/>
        <c:crossAx val="38377761"/>
        <c:crosses val="autoZero"/>
        <c:auto val="1"/>
        <c:lblOffset val="100"/>
        <c:noMultiLvlLbl val="0"/>
      </c:catAx>
      <c:valAx>
        <c:axId val="38377761"/>
        <c:scaling>
          <c:orientation val="minMax"/>
        </c:scaling>
        <c:axPos val="l"/>
        <c:title>
          <c:tx>
            <c:rich>
              <a:bodyPr vert="horz" rot="-5400000" anchor="ctr"/>
              <a:lstStyle/>
              <a:p>
                <a:pPr algn="ctr">
                  <a:defRPr/>
                </a:pPr>
                <a:r>
                  <a:rPr lang="en-US" cap="none" sz="125" b="1" i="0" u="none" baseline="0">
                    <a:latin typeface="Arial"/>
                    <a:ea typeface="Arial"/>
                    <a:cs typeface="Arial"/>
                  </a:rPr>
                  <a:t>Energian kulutus (kWh/kk)</a:t>
                </a:r>
              </a:p>
            </c:rich>
          </c:tx>
          <c:layout/>
          <c:overlay val="0"/>
          <c:spPr>
            <a:noFill/>
            <a:ln>
              <a:noFill/>
            </a:ln>
          </c:spPr>
        </c:title>
        <c:majorGridlines/>
        <c:delete val="0"/>
        <c:numFmt formatCode="General" sourceLinked="1"/>
        <c:majorTickMark val="out"/>
        <c:minorTickMark val="none"/>
        <c:tickLblPos val="nextTo"/>
        <c:crossAx val="11720736"/>
        <c:crossesAt val="1"/>
        <c:crossBetween val="between"/>
        <c:dispUnits/>
      </c:valAx>
      <c:spPr>
        <a:solidFill>
          <a:srgbClr val="FFFFFF"/>
        </a:solidFill>
        <a:ln w="12700">
          <a:solidFill>
            <a:srgbClr val="808080"/>
          </a:solidFill>
        </a:ln>
      </c:spPr>
    </c:plotArea>
    <c:legend>
      <c:legendPos val="t"/>
      <c:layout/>
      <c:overlay val="0"/>
      <c:txPr>
        <a:bodyPr vert="horz" rot="0"/>
        <a:lstStyle/>
        <a:p>
          <a:pPr>
            <a:defRPr lang="en-US" cap="none" sz="100" b="0" i="0" u="none" baseline="0">
              <a:latin typeface="Arial"/>
              <a:ea typeface="Arial"/>
              <a:cs typeface="Arial"/>
            </a:defRPr>
          </a:pPr>
        </a:p>
      </c:txPr>
    </c:legend>
    <c:plotVisOnly val="1"/>
    <c:dispBlanksAs val="gap"/>
    <c:showDLblsOverMax val="0"/>
  </c:chart>
  <c:spPr>
    <a:blipFill>
      <a:blip r:embed="rId1"/>
      <a:srcRect/>
      <a:tile sx="100000" sy="100000" flip="none" algn="tl"/>
    </a:blipFill>
    <a:effectLst>
      <a:outerShdw dist="35921" dir="2700000" algn="br">
        <a:prstClr val="black"/>
      </a:outerShdw>
    </a:effectLst>
  </c:spPr>
  <c:txPr>
    <a:bodyPr vert="horz" rot="0"/>
    <a:lstStyle/>
    <a:p>
      <a:pPr>
        <a:defRPr lang="en-US" cap="none" sz="12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175" b="1" i="0" u="none" baseline="0">
                <a:latin typeface="Arial"/>
                <a:ea typeface="Arial"/>
                <a:cs typeface="Arial"/>
              </a:rPr>
              <a:t>Osto</a:t>
            </a:r>
            <a:r>
              <a:rPr lang="en-US" cap="none" sz="1175" b="1" i="0" u="none" baseline="0">
                <a:latin typeface="Arial"/>
                <a:ea typeface="Arial"/>
                <a:cs typeface="Arial"/>
              </a:rPr>
              <a:t>energian </a:t>
            </a:r>
            <a:r>
              <a:rPr lang="en-US" cap="none" sz="1175" b="1" i="0" u="sng" baseline="0">
                <a:latin typeface="Arial"/>
                <a:ea typeface="Arial"/>
                <a:cs typeface="Arial"/>
              </a:rPr>
              <a:t>vuosikustannus</a:t>
            </a:r>
            <a:r>
              <a:rPr lang="en-US" cap="none" sz="1175" b="1" i="0" u="none" baseline="0">
                <a:latin typeface="Arial"/>
                <a:ea typeface="Arial"/>
                <a:cs typeface="Arial"/>
              </a:rPr>
              <a:t> </a:t>
            </a:r>
            <a:r>
              <a:rPr lang="en-US" cap="none" sz="1175" b="1" i="0" u="sng" baseline="0">
                <a:latin typeface="Arial"/>
                <a:ea typeface="Arial"/>
                <a:cs typeface="Arial"/>
              </a:rPr>
              <a:t>per</a:t>
            </a:r>
            <a:r>
              <a:rPr lang="en-US" cap="none" sz="1175" b="1" i="0" u="none" baseline="0">
                <a:latin typeface="Arial"/>
                <a:ea typeface="Arial"/>
                <a:cs typeface="Arial"/>
              </a:rPr>
              <a:t> </a:t>
            </a:r>
            <a:r>
              <a:rPr lang="en-US" cap="none" sz="1175" b="1" i="0" u="sng" baseline="0">
                <a:latin typeface="Arial"/>
                <a:ea typeface="Arial"/>
                <a:cs typeface="Arial"/>
              </a:rPr>
              <a:t>lämmitystapa</a:t>
            </a:r>
          </a:p>
        </c:rich>
      </c:tx>
      <c:layout/>
      <c:spPr>
        <a:noFill/>
        <a:ln>
          <a:noFill/>
        </a:ln>
      </c:spPr>
    </c:title>
    <c:plotArea>
      <c:layout>
        <c:manualLayout>
          <c:xMode val="edge"/>
          <c:yMode val="edge"/>
          <c:x val="0.072"/>
          <c:y val="0.227"/>
          <c:w val="0.91125"/>
          <c:h val="0.674"/>
        </c:manualLayout>
      </c:layout>
      <c:barChart>
        <c:barDir val="col"/>
        <c:grouping val="stacked"/>
        <c:varyColors val="0"/>
        <c:ser>
          <c:idx val="0"/>
          <c:order val="0"/>
          <c:tx>
            <c:v>Tilojen ja käyttöveden lämmitys</c:v>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Lit>
              <c:ptCount val="3"/>
              <c:pt idx="0">
                <c:v>Sähkölämmitys</c:v>
              </c:pt>
              <c:pt idx="1">
                <c:v> Kaukolämpö</c:v>
              </c:pt>
              <c:pt idx="2">
                <c:v>Lämpöpumppu</c:v>
              </c:pt>
            </c:strLit>
          </c:cat>
          <c:val>
            <c:numRef>
              <c:f>('Tasaus- ja energialaskenta'!$AC$101,'Tasaus- ja energialaskenta'!$AC$105,'Tasaus- ja energialaskenta'!$AC$109)</c:f>
              <c:numCache/>
            </c:numRef>
          </c:val>
        </c:ser>
        <c:ser>
          <c:idx val="1"/>
          <c:order val="1"/>
          <c:tx>
            <c:v>Taloussähkö</c:v>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Lit>
              <c:ptCount val="3"/>
              <c:pt idx="0">
                <c:v>Sähkölämmitys</c:v>
              </c:pt>
              <c:pt idx="1">
                <c:v> Kaukolämpö</c:v>
              </c:pt>
              <c:pt idx="2">
                <c:v>Lämpöpumppu</c:v>
              </c:pt>
            </c:strLit>
          </c:cat>
          <c:val>
            <c:numRef>
              <c:f>('Tasaus- ja energialaskenta'!$AC$102,'Tasaus- ja energialaskenta'!$AC$106,'Tasaus- ja energialaskenta'!$AC$110)</c:f>
              <c:numCache/>
            </c:numRef>
          </c:val>
        </c:ser>
        <c:overlap val="100"/>
        <c:gapWidth val="70"/>
        <c:axId val="12413690"/>
        <c:axId val="44614347"/>
      </c:barChart>
      <c:catAx>
        <c:axId val="12413690"/>
        <c:scaling>
          <c:orientation val="minMax"/>
        </c:scaling>
        <c:axPos val="b"/>
        <c:title>
          <c:tx>
            <c:rich>
              <a:bodyPr vert="horz" rot="0" anchor="ctr"/>
              <a:lstStyle/>
              <a:p>
                <a:pPr algn="ctr">
                  <a:defRPr/>
                </a:pPr>
                <a:r>
                  <a:rPr lang="en-US" cap="none" sz="975" b="1" i="0" u="none" baseline="0">
                    <a:latin typeface="Arial"/>
                    <a:ea typeface="Arial"/>
                    <a:cs typeface="Arial"/>
                  </a:rPr>
                  <a:t>Lämmitystapa</a:t>
                </a:r>
              </a:p>
            </c:rich>
          </c:tx>
          <c:layout/>
          <c:overlay val="0"/>
          <c:spPr>
            <a:noFill/>
            <a:ln>
              <a:noFill/>
            </a:ln>
          </c:spPr>
        </c:title>
        <c:delete val="0"/>
        <c:numFmt formatCode="General" sourceLinked="1"/>
        <c:majorTickMark val="out"/>
        <c:minorTickMark val="none"/>
        <c:tickLblPos val="nextTo"/>
        <c:crossAx val="44614347"/>
        <c:crosses val="autoZero"/>
        <c:auto val="0"/>
        <c:lblOffset val="100"/>
        <c:noMultiLvlLbl val="0"/>
      </c:catAx>
      <c:valAx>
        <c:axId val="44614347"/>
        <c:scaling>
          <c:orientation val="minMax"/>
        </c:scaling>
        <c:axPos val="l"/>
        <c:title>
          <c:tx>
            <c:rich>
              <a:bodyPr vert="horz" rot="-5400000" anchor="ctr"/>
              <a:lstStyle/>
              <a:p>
                <a:pPr algn="ctr">
                  <a:defRPr/>
                </a:pPr>
                <a:r>
                  <a:rPr lang="en-US" cap="none" sz="975" b="1" i="0" u="none" baseline="0">
                    <a:latin typeface="Arial"/>
                    <a:ea typeface="Arial"/>
                    <a:cs typeface="Arial"/>
                  </a:rPr>
                  <a:t>Vuosikustannus (EUR/a)</a:t>
                </a:r>
              </a:p>
            </c:rich>
          </c:tx>
          <c:layout/>
          <c:overlay val="0"/>
          <c:spPr>
            <a:noFill/>
            <a:ln>
              <a:noFill/>
            </a:ln>
          </c:spPr>
        </c:title>
        <c:majorGridlines/>
        <c:delete val="0"/>
        <c:numFmt formatCode="General" sourceLinked="1"/>
        <c:majorTickMark val="out"/>
        <c:minorTickMark val="none"/>
        <c:tickLblPos val="nextTo"/>
        <c:crossAx val="12413690"/>
        <c:crossesAt val="1"/>
        <c:crossBetween val="between"/>
        <c:dispUnits/>
      </c:valAx>
      <c:spPr>
        <a:solidFill>
          <a:srgbClr val="FFFFFF"/>
        </a:solidFill>
        <a:ln w="12700">
          <a:solidFill>
            <a:srgbClr val="808080"/>
          </a:solidFill>
        </a:ln>
      </c:spPr>
    </c:plotArea>
    <c:legend>
      <c:legendPos val="t"/>
      <c:layout>
        <c:manualLayout>
          <c:xMode val="edge"/>
          <c:yMode val="edge"/>
          <c:x val="0.2855"/>
          <c:y val="0.128"/>
          <c:w val="0.555"/>
          <c:h val="0.060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blipFill>
      <a:blip r:embed="rId1"/>
      <a:srcRect/>
      <a:tile sx="100000" sy="100000" flip="none" algn="tl"/>
    </a:blipFill>
    <a:effectLst>
      <a:outerShdw dist="35921" dir="2700000" algn="br">
        <a:prstClr val="black"/>
      </a:outerShdw>
    </a:effectLst>
  </c:spPr>
  <c:txPr>
    <a:bodyPr vert="horz" rot="0"/>
    <a:lstStyle/>
    <a:p>
      <a:pPr>
        <a:defRPr lang="en-US" cap="none" sz="97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175" b="1" i="0" u="none" baseline="0">
                <a:latin typeface="Arial"/>
                <a:ea typeface="Arial"/>
                <a:cs typeface="Arial"/>
              </a:rPr>
              <a:t>Osto</a:t>
            </a:r>
            <a:r>
              <a:rPr lang="en-US" cap="none" sz="1175" b="1" i="0" u="none" baseline="0">
                <a:latin typeface="Arial"/>
                <a:ea typeface="Arial"/>
                <a:cs typeface="Arial"/>
              </a:rPr>
              <a:t>energian </a:t>
            </a:r>
            <a:r>
              <a:rPr lang="en-US" cap="none" sz="1175" b="1" i="0" u="sng" baseline="0">
                <a:latin typeface="Arial"/>
                <a:ea typeface="Arial"/>
                <a:cs typeface="Arial"/>
              </a:rPr>
              <a:t>kuukausimaksu</a:t>
            </a:r>
            <a:r>
              <a:rPr lang="en-US" cap="none" sz="1175" b="1" i="0" u="none" baseline="0">
                <a:latin typeface="Arial"/>
                <a:ea typeface="Arial"/>
                <a:cs typeface="Arial"/>
              </a:rPr>
              <a:t> </a:t>
            </a:r>
            <a:r>
              <a:rPr lang="en-US" cap="none" sz="1175" b="1" i="0" u="sng" baseline="0">
                <a:latin typeface="Arial"/>
                <a:ea typeface="Arial"/>
                <a:cs typeface="Arial"/>
              </a:rPr>
              <a:t>per</a:t>
            </a:r>
            <a:r>
              <a:rPr lang="en-US" cap="none" sz="1175" b="1" i="0" u="none" baseline="0">
                <a:latin typeface="Arial"/>
                <a:ea typeface="Arial"/>
                <a:cs typeface="Arial"/>
              </a:rPr>
              <a:t> </a:t>
            </a:r>
            <a:r>
              <a:rPr lang="en-US" cap="none" sz="1175" b="1" i="0" u="sng" baseline="0">
                <a:latin typeface="Arial"/>
                <a:ea typeface="Arial"/>
                <a:cs typeface="Arial"/>
              </a:rPr>
              <a:t>huoneistoala</a:t>
            </a:r>
          </a:p>
        </c:rich>
      </c:tx>
      <c:layout/>
      <c:spPr>
        <a:noFill/>
        <a:ln>
          <a:noFill/>
        </a:ln>
      </c:spPr>
    </c:title>
    <c:plotArea>
      <c:layout>
        <c:manualLayout>
          <c:xMode val="edge"/>
          <c:yMode val="edge"/>
          <c:x val="0.07175"/>
          <c:y val="0.2265"/>
          <c:w val="0.9115"/>
          <c:h val="0.67475"/>
        </c:manualLayout>
      </c:layout>
      <c:barChart>
        <c:barDir val="col"/>
        <c:grouping val="stacked"/>
        <c:varyColors val="0"/>
        <c:ser>
          <c:idx val="0"/>
          <c:order val="0"/>
          <c:tx>
            <c:v>Tilojen ja käyttöveden lämmitys</c:v>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Lit>
              <c:ptCount val="3"/>
              <c:pt idx="0">
                <c:v>Sähkölämmitys</c:v>
              </c:pt>
              <c:pt idx="1">
                <c:v> Kaukolämpö</c:v>
              </c:pt>
              <c:pt idx="2">
                <c:v>Lämpöpumppu</c:v>
              </c:pt>
            </c:strLit>
          </c:cat>
          <c:val>
            <c:numRef>
              <c:f>'Tasaus- ja energialaskenta'!$AA$119:$AC$119</c:f>
              <c:numCache/>
            </c:numRef>
          </c:val>
        </c:ser>
        <c:ser>
          <c:idx val="1"/>
          <c:order val="1"/>
          <c:tx>
            <c:v>Taloussähkö</c:v>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Lit>
              <c:ptCount val="3"/>
              <c:pt idx="0">
                <c:v>Sähkölämmitys</c:v>
              </c:pt>
              <c:pt idx="1">
                <c:v> Kaukolämpö</c:v>
              </c:pt>
              <c:pt idx="2">
                <c:v>Lämpöpumppu</c:v>
              </c:pt>
            </c:strLit>
          </c:cat>
          <c:val>
            <c:numRef>
              <c:f>'Tasaus- ja energialaskenta'!$AA$120:$AC$120</c:f>
              <c:numCache/>
            </c:numRef>
          </c:val>
        </c:ser>
        <c:overlap val="100"/>
        <c:gapWidth val="70"/>
        <c:axId val="65984804"/>
        <c:axId val="56992325"/>
      </c:barChart>
      <c:catAx>
        <c:axId val="65984804"/>
        <c:scaling>
          <c:orientation val="minMax"/>
        </c:scaling>
        <c:axPos val="b"/>
        <c:title>
          <c:tx>
            <c:rich>
              <a:bodyPr vert="horz" rot="0" anchor="ctr"/>
              <a:lstStyle/>
              <a:p>
                <a:pPr algn="ctr">
                  <a:defRPr/>
                </a:pPr>
                <a:r>
                  <a:rPr lang="en-US" cap="none" sz="975" b="1" i="0" u="none" baseline="0">
                    <a:latin typeface="Arial"/>
                    <a:ea typeface="Arial"/>
                    <a:cs typeface="Arial"/>
                  </a:rPr>
                  <a:t>Lämmitystapa</a:t>
                </a:r>
              </a:p>
            </c:rich>
          </c:tx>
          <c:layout/>
          <c:overlay val="0"/>
          <c:spPr>
            <a:noFill/>
            <a:ln>
              <a:noFill/>
            </a:ln>
          </c:spPr>
        </c:title>
        <c:delete val="0"/>
        <c:numFmt formatCode="General" sourceLinked="1"/>
        <c:majorTickMark val="out"/>
        <c:minorTickMark val="none"/>
        <c:tickLblPos val="nextTo"/>
        <c:crossAx val="56992325"/>
        <c:crosses val="autoZero"/>
        <c:auto val="0"/>
        <c:lblOffset val="100"/>
        <c:noMultiLvlLbl val="0"/>
      </c:catAx>
      <c:valAx>
        <c:axId val="56992325"/>
        <c:scaling>
          <c:orientation val="minMax"/>
        </c:scaling>
        <c:axPos val="l"/>
        <c:title>
          <c:tx>
            <c:rich>
              <a:bodyPr vert="horz" rot="-5400000" anchor="ctr"/>
              <a:lstStyle/>
              <a:p>
                <a:pPr algn="ctr">
                  <a:defRPr/>
                </a:pPr>
                <a:r>
                  <a:rPr lang="en-US" cap="none" sz="975" b="1" i="0" u="none" baseline="0">
                    <a:latin typeface="Arial"/>
                    <a:ea typeface="Arial"/>
                    <a:cs typeface="Arial"/>
                  </a:rPr>
                  <a:t>Kuukausimaksu (EUR/m</a:t>
                </a:r>
                <a:r>
                  <a:rPr lang="en-US" cap="none" sz="975" b="1" i="0" u="none" baseline="30000">
                    <a:latin typeface="Arial"/>
                    <a:ea typeface="Arial"/>
                    <a:cs typeface="Arial"/>
                  </a:rPr>
                  <a:t>2</a:t>
                </a:r>
                <a:r>
                  <a:rPr lang="en-US" cap="none" sz="975"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crossAx val="65984804"/>
        <c:crossesAt val="1"/>
        <c:crossBetween val="between"/>
        <c:dispUnits/>
      </c:valAx>
      <c:spPr>
        <a:solidFill>
          <a:srgbClr val="FFFFFF"/>
        </a:solidFill>
        <a:ln w="12700">
          <a:solidFill>
            <a:srgbClr val="808080"/>
          </a:solidFill>
        </a:ln>
      </c:spPr>
    </c:plotArea>
    <c:legend>
      <c:legendPos val="t"/>
      <c:layout>
        <c:manualLayout>
          <c:xMode val="edge"/>
          <c:yMode val="edge"/>
          <c:x val="0.27875"/>
          <c:y val="0.12775"/>
          <c:w val="0.55425"/>
          <c:h val="0.0602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blipFill>
      <a:blip r:embed="rId1"/>
      <a:srcRect/>
      <a:tile sx="100000" sy="100000" flip="none" algn="tl"/>
    </a:blipFill>
    <a:effectLst>
      <a:outerShdw dist="35921" dir="2700000" algn="br">
        <a:prstClr val="black"/>
      </a:outerShdw>
    </a:effectLst>
  </c:spPr>
  <c:txPr>
    <a:bodyPr vert="horz" rot="0"/>
    <a:lstStyle/>
    <a:p>
      <a:pPr>
        <a:defRPr lang="en-US" cap="none" sz="9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50" b="1" i="0" u="sng" baseline="0">
                <a:latin typeface="Arial"/>
                <a:ea typeface="Arial"/>
                <a:cs typeface="Arial"/>
              </a:rPr>
              <a:t>Osto</a:t>
            </a:r>
            <a:r>
              <a:rPr lang="en-US" cap="none" sz="150" b="1" i="0" u="none" baseline="0">
                <a:latin typeface="Arial"/>
                <a:ea typeface="Arial"/>
                <a:cs typeface="Arial"/>
              </a:rPr>
              <a:t>energian kulutus 
</a:t>
            </a:r>
          </a:p>
        </c:rich>
      </c:tx>
      <c:layout/>
      <c:spPr>
        <a:noFill/>
        <a:ln>
          <a:noFill/>
        </a:ln>
      </c:spPr>
    </c:title>
    <c:plotArea>
      <c:layout/>
      <c:barChart>
        <c:barDir val="col"/>
        <c:grouping val="stacked"/>
        <c:varyColors val="0"/>
        <c:ser>
          <c:idx val="0"/>
          <c:order val="0"/>
          <c:tx>
            <c:v>Tilojen lämmitys</c:v>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val>
            <c:numRef>
              <c:f>'ET-luvun Laskenta'!$AE$37:$AE$48</c:f>
              <c:numCache/>
            </c:numRef>
          </c:val>
        </c:ser>
        <c:ser>
          <c:idx val="2"/>
          <c:order val="1"/>
          <c:tx>
            <c:v>Käyttöveden lämmitys</c:v>
          </c:tx>
          <c:spPr>
            <a:solidFill>
              <a:srgbClr val="00CCFF"/>
            </a:solidFill>
          </c:spPr>
          <c:invertIfNegative val="0"/>
          <c:extLst>
            <c:ext xmlns:c14="http://schemas.microsoft.com/office/drawing/2007/8/2/chart" uri="{6F2FDCE9-48DA-4B69-8628-5D25D57E5C99}">
              <c14:invertSolidFillFmt>
                <c14:spPr>
                  <a:solidFill>
                    <a:srgbClr val="FFFFFF"/>
                  </a:solidFill>
                </c14:spPr>
              </c14:invertSolidFillFmt>
            </c:ext>
          </c:extLst>
          <c:val>
            <c:numRef>
              <c:f>'ET-luvun Laskenta'!$AF$37:$AF$48</c:f>
              <c:numCache/>
            </c:numRef>
          </c:val>
        </c:ser>
        <c:ser>
          <c:idx val="1"/>
          <c:order val="2"/>
          <c:tx>
            <c:v>Taloussähkö</c:v>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val>
            <c:numRef>
              <c:f>'ET-luvun Laskenta'!$W$18:$W$29</c:f>
              <c:numCache/>
            </c:numRef>
          </c:val>
        </c:ser>
        <c:overlap val="100"/>
        <c:gapWidth val="70"/>
        <c:axId val="9855530"/>
        <c:axId val="21590907"/>
      </c:barChart>
      <c:catAx>
        <c:axId val="9855530"/>
        <c:scaling>
          <c:orientation val="minMax"/>
        </c:scaling>
        <c:axPos val="b"/>
        <c:delete val="0"/>
        <c:numFmt formatCode="General" sourceLinked="1"/>
        <c:majorTickMark val="out"/>
        <c:minorTickMark val="none"/>
        <c:tickLblPos val="nextTo"/>
        <c:crossAx val="21590907"/>
        <c:crosses val="autoZero"/>
        <c:auto val="1"/>
        <c:lblOffset val="100"/>
        <c:noMultiLvlLbl val="0"/>
      </c:catAx>
      <c:valAx>
        <c:axId val="21590907"/>
        <c:scaling>
          <c:orientation val="minMax"/>
        </c:scaling>
        <c:axPos val="l"/>
        <c:title>
          <c:tx>
            <c:rich>
              <a:bodyPr vert="horz" rot="-5400000" anchor="ctr"/>
              <a:lstStyle/>
              <a:p>
                <a:pPr algn="ctr">
                  <a:defRPr/>
                </a:pPr>
                <a:r>
                  <a:rPr lang="en-US" cap="none" sz="125" b="1" i="0" u="none" baseline="0">
                    <a:latin typeface="Arial"/>
                    <a:ea typeface="Arial"/>
                    <a:cs typeface="Arial"/>
                  </a:rPr>
                  <a:t>Ostoenergian kulutus (kWh/kk)</a:t>
                </a:r>
              </a:p>
            </c:rich>
          </c:tx>
          <c:layout/>
          <c:overlay val="0"/>
          <c:spPr>
            <a:noFill/>
            <a:ln>
              <a:noFill/>
            </a:ln>
          </c:spPr>
        </c:title>
        <c:majorGridlines/>
        <c:delete val="0"/>
        <c:numFmt formatCode="General" sourceLinked="1"/>
        <c:majorTickMark val="out"/>
        <c:minorTickMark val="none"/>
        <c:tickLblPos val="nextTo"/>
        <c:crossAx val="9855530"/>
        <c:crossesAt val="1"/>
        <c:crossBetween val="between"/>
        <c:dispUnits/>
      </c:valAx>
      <c:spPr>
        <a:solidFill>
          <a:srgbClr val="FFFFFF"/>
        </a:solidFill>
        <a:ln w="12700">
          <a:solidFill>
            <a:srgbClr val="808080"/>
          </a:solidFill>
        </a:ln>
      </c:spPr>
    </c:plotArea>
    <c:legend>
      <c:legendPos val="t"/>
      <c:layout/>
      <c:overlay val="0"/>
      <c:txPr>
        <a:bodyPr vert="horz" rot="0"/>
        <a:lstStyle/>
        <a:p>
          <a:pPr>
            <a:defRPr lang="en-US" cap="none" sz="100" b="0" i="0" u="none" baseline="0">
              <a:latin typeface="Arial"/>
              <a:ea typeface="Arial"/>
              <a:cs typeface="Arial"/>
            </a:defRPr>
          </a:pPr>
        </a:p>
      </c:txPr>
    </c:legend>
    <c:plotVisOnly val="1"/>
    <c:dispBlanksAs val="gap"/>
    <c:showDLblsOverMax val="0"/>
  </c:chart>
  <c:spPr>
    <a:blipFill>
      <a:blip r:embed="rId1"/>
      <a:srcRect/>
      <a:tile sx="100000" sy="100000" flip="none" algn="tl"/>
    </a:blipFill>
    <a:effectLst>
      <a:outerShdw dist="35921" dir="2700000" algn="br">
        <a:prstClr val="black"/>
      </a:outerShdw>
    </a:effectLst>
  </c:spPr>
  <c:txPr>
    <a:bodyPr vert="horz" rot="0"/>
    <a:lstStyle/>
    <a:p>
      <a:pPr>
        <a:defRPr lang="en-US" cap="none" sz="1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50" b="1" i="0" u="none" baseline="0">
                <a:latin typeface="Arial"/>
                <a:ea typeface="Arial"/>
                <a:cs typeface="Arial"/>
              </a:rPr>
              <a:t>Osto</a:t>
            </a:r>
            <a:r>
              <a:rPr lang="en-US" cap="none" sz="150" b="1" i="0" u="none" baseline="0">
                <a:latin typeface="Arial"/>
                <a:ea typeface="Arial"/>
                <a:cs typeface="Arial"/>
              </a:rPr>
              <a:t>energian </a:t>
            </a:r>
            <a:r>
              <a:rPr lang="en-US" cap="none" sz="150" b="1" i="0" u="sng" baseline="0">
                <a:latin typeface="Arial"/>
                <a:ea typeface="Arial"/>
                <a:cs typeface="Arial"/>
              </a:rPr>
              <a:t>kuukausimaksu</a:t>
            </a:r>
            <a:r>
              <a:rPr lang="en-US" cap="none" sz="150" b="1" i="0" u="none" baseline="0">
                <a:latin typeface="Arial"/>
                <a:ea typeface="Arial"/>
                <a:cs typeface="Arial"/>
              </a:rPr>
              <a:t> </a:t>
            </a:r>
            <a:r>
              <a:rPr lang="en-US" cap="none" sz="150" b="1" i="0" u="sng" baseline="0">
                <a:latin typeface="Arial"/>
                <a:ea typeface="Arial"/>
                <a:cs typeface="Arial"/>
              </a:rPr>
              <a:t>per</a:t>
            </a:r>
            <a:r>
              <a:rPr lang="en-US" cap="none" sz="150" b="1" i="0" u="none" baseline="0">
                <a:latin typeface="Arial"/>
                <a:ea typeface="Arial"/>
                <a:cs typeface="Arial"/>
              </a:rPr>
              <a:t> </a:t>
            </a:r>
            <a:r>
              <a:rPr lang="en-US" cap="none" sz="150" b="1" i="0" u="sng" baseline="0">
                <a:latin typeface="Arial"/>
                <a:ea typeface="Arial"/>
                <a:cs typeface="Arial"/>
              </a:rPr>
              <a:t>huoneistoala</a:t>
            </a:r>
          </a:p>
        </c:rich>
      </c:tx>
      <c:layout/>
      <c:spPr>
        <a:noFill/>
        <a:ln>
          <a:noFill/>
        </a:ln>
      </c:spPr>
    </c:title>
    <c:plotArea>
      <c:layout/>
      <c:barChart>
        <c:barDir val="col"/>
        <c:grouping val="stacked"/>
        <c:varyColors val="0"/>
        <c:ser>
          <c:idx val="0"/>
          <c:order val="0"/>
          <c:tx>
            <c:v>Tilojen ja käyttöveden lämmitys</c:v>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Lit>
              <c:ptCount val="3"/>
              <c:pt idx="0">
                <c:v>Sähkölämmitys</c:v>
              </c:pt>
              <c:pt idx="1">
                <c:v> Kaukolämpö</c:v>
              </c:pt>
              <c:pt idx="2">
                <c:v>Lämpöpumppu</c:v>
              </c:pt>
            </c:strLit>
          </c:cat>
          <c:val>
            <c:numRef>
              <c:f>('ET-luvun Laskenta'!$AE$119,'ET-luvun Laskenta'!$AF$119,'ET-luvun Laskenta'!$AG$119)</c:f>
              <c:numCache/>
            </c:numRef>
          </c:val>
        </c:ser>
        <c:ser>
          <c:idx val="1"/>
          <c:order val="1"/>
          <c:tx>
            <c:v>Taloussähkö</c:v>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Lit>
              <c:ptCount val="3"/>
              <c:pt idx="0">
                <c:v>Sähkölämmitys</c:v>
              </c:pt>
              <c:pt idx="1">
                <c:v> Kaukolämpö</c:v>
              </c:pt>
              <c:pt idx="2">
                <c:v>Lämpöpumppu</c:v>
              </c:pt>
            </c:strLit>
          </c:cat>
          <c:val>
            <c:numRef>
              <c:f>('ET-luvun Laskenta'!$AE$120,'ET-luvun Laskenta'!$AF$120,'ET-luvun Laskenta'!$AG$120)</c:f>
              <c:numCache/>
            </c:numRef>
          </c:val>
        </c:ser>
        <c:overlap val="100"/>
        <c:gapWidth val="70"/>
        <c:axId val="60100436"/>
        <c:axId val="4033013"/>
      </c:barChart>
      <c:catAx>
        <c:axId val="60100436"/>
        <c:scaling>
          <c:orientation val="minMax"/>
        </c:scaling>
        <c:axPos val="b"/>
        <c:title>
          <c:tx>
            <c:rich>
              <a:bodyPr vert="horz" rot="0" anchor="ctr"/>
              <a:lstStyle/>
              <a:p>
                <a:pPr algn="ctr">
                  <a:defRPr/>
                </a:pPr>
                <a:r>
                  <a:rPr lang="en-US" cap="none" sz="125" b="1" i="0" u="none" baseline="0">
                    <a:latin typeface="Arial"/>
                    <a:ea typeface="Arial"/>
                    <a:cs typeface="Arial"/>
                  </a:rPr>
                  <a:t>Lämmitystapa</a:t>
                </a:r>
              </a:p>
            </c:rich>
          </c:tx>
          <c:layout/>
          <c:overlay val="0"/>
          <c:spPr>
            <a:noFill/>
            <a:ln>
              <a:noFill/>
            </a:ln>
          </c:spPr>
        </c:title>
        <c:delete val="0"/>
        <c:numFmt formatCode="General" sourceLinked="1"/>
        <c:majorTickMark val="out"/>
        <c:minorTickMark val="none"/>
        <c:tickLblPos val="nextTo"/>
        <c:crossAx val="4033013"/>
        <c:crosses val="autoZero"/>
        <c:auto val="0"/>
        <c:lblOffset val="100"/>
        <c:noMultiLvlLbl val="0"/>
      </c:catAx>
      <c:valAx>
        <c:axId val="4033013"/>
        <c:scaling>
          <c:orientation val="minMax"/>
        </c:scaling>
        <c:axPos val="l"/>
        <c:title>
          <c:tx>
            <c:rich>
              <a:bodyPr vert="horz" rot="-5400000" anchor="ctr"/>
              <a:lstStyle/>
              <a:p>
                <a:pPr algn="ctr">
                  <a:defRPr/>
                </a:pPr>
                <a:r>
                  <a:rPr lang="en-US" cap="none" sz="125" b="1" i="0" u="none" baseline="0">
                    <a:latin typeface="Arial"/>
                    <a:ea typeface="Arial"/>
                    <a:cs typeface="Arial"/>
                  </a:rPr>
                  <a:t>Kuukausimaksu (EUR/m</a:t>
                </a:r>
                <a:r>
                  <a:rPr lang="en-US" cap="none" sz="125" b="1" i="0" u="none" baseline="30000">
                    <a:latin typeface="Arial"/>
                    <a:ea typeface="Arial"/>
                    <a:cs typeface="Arial"/>
                  </a:rPr>
                  <a:t>2</a:t>
                </a:r>
                <a:r>
                  <a:rPr lang="en-US" cap="none" sz="125"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crossAx val="60100436"/>
        <c:crossesAt val="1"/>
        <c:crossBetween val="between"/>
        <c:dispUnits/>
      </c:valAx>
      <c:spPr>
        <a:solidFill>
          <a:srgbClr val="FFFFFF"/>
        </a:solidFill>
        <a:ln w="12700">
          <a:solidFill>
            <a:srgbClr val="808080"/>
          </a:solidFill>
        </a:ln>
      </c:spPr>
    </c:plotArea>
    <c:legend>
      <c:legendPos val="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blipFill>
      <a:blip r:embed="rId1"/>
      <a:srcRect/>
      <a:tile sx="100000" sy="100000" flip="none" algn="tl"/>
    </a:blipFill>
    <a:effectLst>
      <a:outerShdw dist="35921" dir="2700000" algn="br">
        <a:prstClr val="black"/>
      </a:outerShdw>
    </a:effectLst>
  </c:spPr>
  <c:txPr>
    <a:bodyPr vert="horz" rot="0"/>
    <a:lstStyle/>
    <a:p>
      <a:pPr>
        <a:defRPr lang="en-US" cap="none" sz="1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50" b="1" i="0" u="none" baseline="0">
                <a:latin typeface="Arial"/>
                <a:ea typeface="Arial"/>
                <a:cs typeface="Arial"/>
              </a:rPr>
              <a:t>Osto</a:t>
            </a:r>
            <a:r>
              <a:rPr lang="en-US" cap="none" sz="150" b="1" i="0" u="none" baseline="0">
                <a:latin typeface="Arial"/>
                <a:ea typeface="Arial"/>
                <a:cs typeface="Arial"/>
              </a:rPr>
              <a:t>energian </a:t>
            </a:r>
            <a:r>
              <a:rPr lang="en-US" cap="none" sz="150" b="1" i="0" u="sng" baseline="0">
                <a:latin typeface="Arial"/>
                <a:ea typeface="Arial"/>
                <a:cs typeface="Arial"/>
              </a:rPr>
              <a:t>vuosikustannus</a:t>
            </a:r>
            <a:r>
              <a:rPr lang="en-US" cap="none" sz="150" b="1" i="0" u="none" baseline="0">
                <a:latin typeface="Arial"/>
                <a:ea typeface="Arial"/>
                <a:cs typeface="Arial"/>
              </a:rPr>
              <a:t> </a:t>
            </a:r>
            <a:r>
              <a:rPr lang="en-US" cap="none" sz="150" b="1" i="0" u="sng" baseline="0">
                <a:latin typeface="Arial"/>
                <a:ea typeface="Arial"/>
                <a:cs typeface="Arial"/>
              </a:rPr>
              <a:t>per</a:t>
            </a:r>
            <a:r>
              <a:rPr lang="en-US" cap="none" sz="150" b="1" i="0" u="none" baseline="0">
                <a:latin typeface="Arial"/>
                <a:ea typeface="Arial"/>
                <a:cs typeface="Arial"/>
              </a:rPr>
              <a:t> </a:t>
            </a:r>
            <a:r>
              <a:rPr lang="en-US" cap="none" sz="150" b="1" i="0" u="sng" baseline="0">
                <a:latin typeface="Arial"/>
                <a:ea typeface="Arial"/>
                <a:cs typeface="Arial"/>
              </a:rPr>
              <a:t>lämmitystapa</a:t>
            </a:r>
            <a:r>
              <a:rPr lang="en-US" cap="none" sz="150" b="1" i="0" u="none" baseline="0">
                <a:latin typeface="Arial"/>
                <a:ea typeface="Arial"/>
                <a:cs typeface="Arial"/>
              </a:rPr>
              <a:t>
</a:t>
            </a:r>
          </a:p>
        </c:rich>
      </c:tx>
      <c:layout/>
      <c:spPr>
        <a:noFill/>
        <a:ln>
          <a:noFill/>
        </a:ln>
      </c:spPr>
    </c:title>
    <c:plotArea>
      <c:layout/>
      <c:barChart>
        <c:barDir val="col"/>
        <c:grouping val="stacked"/>
        <c:varyColors val="0"/>
        <c:ser>
          <c:idx val="0"/>
          <c:order val="0"/>
          <c:tx>
            <c:v>Tilojen ja käyttöveden lämmitys</c:v>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Lit>
              <c:ptCount val="3"/>
              <c:pt idx="0">
                <c:v>Sähkölämmitys</c:v>
              </c:pt>
              <c:pt idx="1">
                <c:v> Kaukolämpö</c:v>
              </c:pt>
              <c:pt idx="2">
                <c:v>Lämpöpumppu</c:v>
              </c:pt>
            </c:strLit>
          </c:cat>
          <c:val>
            <c:numRef>
              <c:f>('ET-luvun Laskenta'!$AG$101,'ET-luvun Laskenta'!$AG$105,'ET-luvun Laskenta'!$AG$109)</c:f>
              <c:numCache/>
            </c:numRef>
          </c:val>
        </c:ser>
        <c:ser>
          <c:idx val="1"/>
          <c:order val="1"/>
          <c:tx>
            <c:v>Taloussähkö</c:v>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Lit>
              <c:ptCount val="3"/>
              <c:pt idx="0">
                <c:v>Sähkölämmitys</c:v>
              </c:pt>
              <c:pt idx="1">
                <c:v> Kaukolämpö</c:v>
              </c:pt>
              <c:pt idx="2">
                <c:v>Lämpöpumppu</c:v>
              </c:pt>
            </c:strLit>
          </c:cat>
          <c:val>
            <c:numRef>
              <c:f>('ET-luvun Laskenta'!$AG$102,'ET-luvun Laskenta'!$AG$106,'ET-luvun Laskenta'!$AG$110)</c:f>
              <c:numCache/>
            </c:numRef>
          </c:val>
        </c:ser>
        <c:overlap val="100"/>
        <c:gapWidth val="70"/>
        <c:axId val="36297118"/>
        <c:axId val="58238607"/>
      </c:barChart>
      <c:catAx>
        <c:axId val="36297118"/>
        <c:scaling>
          <c:orientation val="minMax"/>
        </c:scaling>
        <c:axPos val="b"/>
        <c:title>
          <c:tx>
            <c:rich>
              <a:bodyPr vert="horz" rot="0" anchor="ctr"/>
              <a:lstStyle/>
              <a:p>
                <a:pPr algn="ctr">
                  <a:defRPr/>
                </a:pPr>
                <a:r>
                  <a:rPr lang="en-US" cap="none" sz="125" b="1" i="0" u="none" baseline="0">
                    <a:latin typeface="Arial"/>
                    <a:ea typeface="Arial"/>
                    <a:cs typeface="Arial"/>
                  </a:rPr>
                  <a:t>Lämmitystapa</a:t>
                </a:r>
              </a:p>
            </c:rich>
          </c:tx>
          <c:layout/>
          <c:overlay val="0"/>
          <c:spPr>
            <a:noFill/>
            <a:ln>
              <a:noFill/>
            </a:ln>
          </c:spPr>
        </c:title>
        <c:delete val="0"/>
        <c:numFmt formatCode="General" sourceLinked="1"/>
        <c:majorTickMark val="out"/>
        <c:minorTickMark val="none"/>
        <c:tickLblPos val="nextTo"/>
        <c:crossAx val="58238607"/>
        <c:crosses val="autoZero"/>
        <c:auto val="0"/>
        <c:lblOffset val="100"/>
        <c:noMultiLvlLbl val="0"/>
      </c:catAx>
      <c:valAx>
        <c:axId val="58238607"/>
        <c:scaling>
          <c:orientation val="minMax"/>
        </c:scaling>
        <c:axPos val="l"/>
        <c:title>
          <c:tx>
            <c:rich>
              <a:bodyPr vert="horz" rot="-5400000" anchor="ctr"/>
              <a:lstStyle/>
              <a:p>
                <a:pPr algn="ctr">
                  <a:defRPr/>
                </a:pPr>
                <a:r>
                  <a:rPr lang="en-US" cap="none" sz="125" b="1" i="0" u="none" baseline="0">
                    <a:latin typeface="Arial"/>
                    <a:ea typeface="Arial"/>
                    <a:cs typeface="Arial"/>
                  </a:rPr>
                  <a:t>Vuosikustannus (EUR/a)</a:t>
                </a:r>
              </a:p>
            </c:rich>
          </c:tx>
          <c:layout/>
          <c:overlay val="0"/>
          <c:spPr>
            <a:noFill/>
            <a:ln>
              <a:noFill/>
            </a:ln>
          </c:spPr>
        </c:title>
        <c:majorGridlines/>
        <c:delete val="0"/>
        <c:numFmt formatCode="General" sourceLinked="1"/>
        <c:majorTickMark val="out"/>
        <c:minorTickMark val="none"/>
        <c:tickLblPos val="nextTo"/>
        <c:crossAx val="36297118"/>
        <c:crossesAt val="1"/>
        <c:crossBetween val="between"/>
        <c:dispUnits/>
      </c:valAx>
      <c:spPr>
        <a:solidFill>
          <a:srgbClr val="FFFFFF"/>
        </a:solidFill>
        <a:ln w="12700">
          <a:solidFill>
            <a:srgbClr val="808080"/>
          </a:solidFill>
        </a:ln>
      </c:spPr>
    </c:plotArea>
    <c:legend>
      <c:legendPos val="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blipFill>
      <a:blip r:embed="rId1"/>
      <a:srcRect/>
      <a:tile sx="100000" sy="100000" flip="none" algn="tl"/>
    </a:blipFill>
    <a:effectLst>
      <a:outerShdw dist="35921" dir="2700000" algn="br">
        <a:prstClr val="black"/>
      </a:outerShdw>
    </a:effectLst>
  </c:spPr>
  <c:txPr>
    <a:bodyPr vert="horz" rot="0"/>
    <a:lstStyle/>
    <a:p>
      <a:pPr>
        <a:defRPr lang="en-US" cap="none" sz="1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50" b="1" i="0" u="none" baseline="0">
                <a:latin typeface="Arial"/>
                <a:ea typeface="Arial"/>
                <a:cs typeface="Arial"/>
              </a:rPr>
              <a:t>Energian kulutus </a:t>
            </a:r>
          </a:p>
        </c:rich>
      </c:tx>
      <c:layout/>
      <c:spPr>
        <a:noFill/>
        <a:ln>
          <a:noFill/>
        </a:ln>
      </c:spPr>
    </c:title>
    <c:plotArea>
      <c:layout/>
      <c:barChart>
        <c:barDir val="col"/>
        <c:grouping val="stacked"/>
        <c:varyColors val="0"/>
        <c:ser>
          <c:idx val="0"/>
          <c:order val="0"/>
          <c:tx>
            <c:v>Tilojen lämmitys</c:v>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val>
            <c:numRef>
              <c:f>'ET-luvun Laskenta'!$AE$18:$AE$29</c:f>
              <c:numCache>
                <c:ptCount val="12"/>
                <c:pt idx="0">
                  <c:v>1788.0041344474096</c:v>
                </c:pt>
                <c:pt idx="1">
                  <c:v>1480.077123460294</c:v>
                </c:pt>
                <c:pt idx="2">
                  <c:v>693.4898004220299</c:v>
                </c:pt>
                <c:pt idx="3">
                  <c:v>511.80240658464754</c:v>
                </c:pt>
                <c:pt idx="4">
                  <c:v>319.87503638803287</c:v>
                </c:pt>
                <c:pt idx="5">
                  <c:v>164.3835620914116</c:v>
                </c:pt>
                <c:pt idx="6">
                  <c:v>169.86301423732084</c:v>
                </c:pt>
                <c:pt idx="7">
                  <c:v>169.86301486421473</c:v>
                </c:pt>
                <c:pt idx="8">
                  <c:v>316.7383821039348</c:v>
                </c:pt>
                <c:pt idx="9">
                  <c:v>577.7170594479985</c:v>
                </c:pt>
                <c:pt idx="10">
                  <c:v>958.8815349565832</c:v>
                </c:pt>
                <c:pt idx="11">
                  <c:v>1523.8497848713985</c:v>
                </c:pt>
              </c:numCache>
            </c:numRef>
          </c:val>
        </c:ser>
        <c:ser>
          <c:idx val="1"/>
          <c:order val="1"/>
          <c:tx>
            <c:v>Käyttöveden lämmitys</c:v>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val>
            <c:numRef>
              <c:f>'ET-luvun Laskenta'!$T$18:$T$29</c:f>
              <c:numCache>
                <c:ptCount val="12"/>
                <c:pt idx="0">
                  <c:v>361.64599999999996</c:v>
                </c:pt>
                <c:pt idx="1">
                  <c:v>326.64799999999997</c:v>
                </c:pt>
                <c:pt idx="2">
                  <c:v>361.64599999999996</c:v>
                </c:pt>
                <c:pt idx="3">
                  <c:v>349.97999999999996</c:v>
                </c:pt>
                <c:pt idx="4">
                  <c:v>361.64599999999996</c:v>
                </c:pt>
                <c:pt idx="5">
                  <c:v>349.97999999999996</c:v>
                </c:pt>
                <c:pt idx="6">
                  <c:v>361.64599999999996</c:v>
                </c:pt>
                <c:pt idx="7">
                  <c:v>361.64599999999996</c:v>
                </c:pt>
                <c:pt idx="8">
                  <c:v>349.97999999999996</c:v>
                </c:pt>
                <c:pt idx="9">
                  <c:v>361.64599999999996</c:v>
                </c:pt>
                <c:pt idx="10">
                  <c:v>349.97999999999996</c:v>
                </c:pt>
                <c:pt idx="11">
                  <c:v>361.64599999999996</c:v>
                </c:pt>
              </c:numCache>
            </c:numRef>
          </c:val>
        </c:ser>
        <c:ser>
          <c:idx val="2"/>
          <c:order val="2"/>
          <c:tx>
            <c:v>Taloussähkö</c:v>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val>
            <c:numRef>
              <c:f>'ET-luvun Laskenta'!$W$18:$W$29</c:f>
              <c:numCache>
                <c:ptCount val="12"/>
                <c:pt idx="0">
                  <c:v>849.3150684931508</c:v>
                </c:pt>
                <c:pt idx="1">
                  <c:v>767.1232876712329</c:v>
                </c:pt>
                <c:pt idx="2">
                  <c:v>849.3150684931508</c:v>
                </c:pt>
                <c:pt idx="3">
                  <c:v>821.9178082191781</c:v>
                </c:pt>
                <c:pt idx="4">
                  <c:v>849.3150684931508</c:v>
                </c:pt>
                <c:pt idx="5">
                  <c:v>821.9178082191781</c:v>
                </c:pt>
                <c:pt idx="6">
                  <c:v>849.3150684931508</c:v>
                </c:pt>
                <c:pt idx="7">
                  <c:v>849.3150684931508</c:v>
                </c:pt>
                <c:pt idx="8">
                  <c:v>821.9178082191781</c:v>
                </c:pt>
                <c:pt idx="9">
                  <c:v>849.3150684931508</c:v>
                </c:pt>
                <c:pt idx="10">
                  <c:v>821.9178082191781</c:v>
                </c:pt>
                <c:pt idx="11">
                  <c:v>849.3150684931508</c:v>
                </c:pt>
              </c:numCache>
            </c:numRef>
          </c:val>
        </c:ser>
        <c:overlap val="100"/>
        <c:gapWidth val="70"/>
        <c:axId val="54385416"/>
        <c:axId val="19706697"/>
      </c:barChart>
      <c:catAx>
        <c:axId val="54385416"/>
        <c:scaling>
          <c:orientation val="minMax"/>
        </c:scaling>
        <c:axPos val="b"/>
        <c:delete val="0"/>
        <c:numFmt formatCode="General" sourceLinked="1"/>
        <c:majorTickMark val="out"/>
        <c:minorTickMark val="none"/>
        <c:tickLblPos val="nextTo"/>
        <c:crossAx val="19706697"/>
        <c:crosses val="autoZero"/>
        <c:auto val="1"/>
        <c:lblOffset val="100"/>
        <c:noMultiLvlLbl val="0"/>
      </c:catAx>
      <c:valAx>
        <c:axId val="19706697"/>
        <c:scaling>
          <c:orientation val="minMax"/>
        </c:scaling>
        <c:axPos val="l"/>
        <c:title>
          <c:tx>
            <c:rich>
              <a:bodyPr vert="horz" rot="-5400000" anchor="ctr"/>
              <a:lstStyle/>
              <a:p>
                <a:pPr algn="ctr">
                  <a:defRPr/>
                </a:pPr>
                <a:r>
                  <a:rPr lang="en-US" cap="none" sz="125" b="1" i="0" u="none" baseline="0">
                    <a:latin typeface="Arial"/>
                    <a:ea typeface="Arial"/>
                    <a:cs typeface="Arial"/>
                  </a:rPr>
                  <a:t>Energian kulutus (kWh/kk)</a:t>
                </a:r>
              </a:p>
            </c:rich>
          </c:tx>
          <c:layout/>
          <c:overlay val="0"/>
          <c:spPr>
            <a:noFill/>
            <a:ln>
              <a:noFill/>
            </a:ln>
          </c:spPr>
        </c:title>
        <c:majorGridlines/>
        <c:delete val="0"/>
        <c:numFmt formatCode="General" sourceLinked="1"/>
        <c:majorTickMark val="out"/>
        <c:minorTickMark val="none"/>
        <c:tickLblPos val="nextTo"/>
        <c:crossAx val="54385416"/>
        <c:crossesAt val="1"/>
        <c:crossBetween val="between"/>
        <c:dispUnits/>
      </c:valAx>
      <c:spPr>
        <a:solidFill>
          <a:srgbClr val="FFFFFF"/>
        </a:solidFill>
        <a:ln w="12700">
          <a:solidFill>
            <a:srgbClr val="808080"/>
          </a:solidFill>
        </a:ln>
      </c:spPr>
    </c:plotArea>
    <c:legend>
      <c:legendPos val="t"/>
      <c:layout/>
      <c:overlay val="0"/>
      <c:txPr>
        <a:bodyPr vert="horz" rot="0"/>
        <a:lstStyle/>
        <a:p>
          <a:pPr>
            <a:defRPr lang="en-US" cap="none" sz="100" b="0" i="0" u="none" baseline="0">
              <a:latin typeface="Arial"/>
              <a:ea typeface="Arial"/>
              <a:cs typeface="Arial"/>
            </a:defRPr>
          </a:pPr>
        </a:p>
      </c:txPr>
    </c:legend>
    <c:plotVisOnly val="1"/>
    <c:dispBlanksAs val="gap"/>
    <c:showDLblsOverMax val="0"/>
  </c:chart>
  <c:spPr>
    <a:blipFill>
      <a:blip r:embed="rId1"/>
      <a:srcRect/>
      <a:tile sx="100000" sy="100000" flip="none" algn="tl"/>
    </a:blipFill>
    <a:effectLst>
      <a:outerShdw dist="35921" dir="2700000" algn="br">
        <a:prstClr val="black"/>
      </a:outerShdw>
    </a:effectLst>
  </c:spPr>
  <c:txPr>
    <a:bodyPr vert="horz" rot="0"/>
    <a:lstStyle/>
    <a:p>
      <a:pPr>
        <a:defRPr lang="en-US" cap="none" sz="12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50" b="1" i="0" u="sng" baseline="0">
                <a:latin typeface="Arial"/>
                <a:ea typeface="Arial"/>
                <a:cs typeface="Arial"/>
              </a:rPr>
              <a:t>Osto</a:t>
            </a:r>
            <a:r>
              <a:rPr lang="en-US" cap="none" sz="150" b="1" i="0" u="none" baseline="0">
                <a:latin typeface="Arial"/>
                <a:ea typeface="Arial"/>
                <a:cs typeface="Arial"/>
              </a:rPr>
              <a:t>energian kulutus (maalämpöpumppu)</a:t>
            </a:r>
          </a:p>
        </c:rich>
      </c:tx>
      <c:layout/>
      <c:spPr>
        <a:noFill/>
        <a:ln>
          <a:noFill/>
        </a:ln>
      </c:spPr>
    </c:title>
    <c:plotArea>
      <c:layout/>
      <c:barChart>
        <c:barDir val="col"/>
        <c:grouping val="stacked"/>
        <c:varyColors val="0"/>
        <c:ser>
          <c:idx val="0"/>
          <c:order val="0"/>
          <c:tx>
            <c:v>Tilojen lämmitys</c:v>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val>
            <c:numRef>
              <c:f>'ET-luvun Laskenta'!$AE$37:$AE$48</c:f>
              <c:numCache>
                <c:ptCount val="12"/>
                <c:pt idx="0">
                  <c:v>447.0010336118524</c:v>
                </c:pt>
                <c:pt idx="1">
                  <c:v>370.0192808650735</c:v>
                </c:pt>
                <c:pt idx="2">
                  <c:v>173.37245010550748</c:v>
                </c:pt>
                <c:pt idx="3">
                  <c:v>127.95060164616189</c:v>
                </c:pt>
                <c:pt idx="4">
                  <c:v>79.96875909700822</c:v>
                </c:pt>
                <c:pt idx="5">
                  <c:v>41.0958905228529</c:v>
                </c:pt>
                <c:pt idx="6">
                  <c:v>42.46575355933021</c:v>
                </c:pt>
                <c:pt idx="7">
                  <c:v>42.46575371605368</c:v>
                </c:pt>
                <c:pt idx="8">
                  <c:v>79.1845955259837</c:v>
                </c:pt>
                <c:pt idx="9">
                  <c:v>144.42926486199963</c:v>
                </c:pt>
                <c:pt idx="10">
                  <c:v>239.7203837391458</c:v>
                </c:pt>
                <c:pt idx="11">
                  <c:v>380.9624462178496</c:v>
                </c:pt>
              </c:numCache>
            </c:numRef>
          </c:val>
        </c:ser>
        <c:ser>
          <c:idx val="2"/>
          <c:order val="1"/>
          <c:tx>
            <c:v>Käyttöveden lämmitys</c:v>
          </c:tx>
          <c:spPr>
            <a:solidFill>
              <a:srgbClr val="00CCFF"/>
            </a:solidFill>
          </c:spPr>
          <c:invertIfNegative val="0"/>
          <c:extLst>
            <c:ext xmlns:c14="http://schemas.microsoft.com/office/drawing/2007/8/2/chart" uri="{6F2FDCE9-48DA-4B69-8628-5D25D57E5C99}">
              <c14:invertSolidFillFmt>
                <c14:spPr>
                  <a:solidFill>
                    <a:srgbClr val="FFFFFF"/>
                  </a:solidFill>
                </c14:spPr>
              </c14:invertSolidFillFmt>
            </c:ext>
          </c:extLst>
          <c:val>
            <c:numRef>
              <c:f>'ET-luvun Laskenta'!$AF$37:$AF$48</c:f>
              <c:numCache>
                <c:ptCount val="12"/>
                <c:pt idx="0">
                  <c:v>154.1101301369863</c:v>
                </c:pt>
                <c:pt idx="1">
                  <c:v>139.19624657534246</c:v>
                </c:pt>
                <c:pt idx="2">
                  <c:v>154.1101301369863</c:v>
                </c:pt>
                <c:pt idx="3">
                  <c:v>149.13883561643834</c:v>
                </c:pt>
                <c:pt idx="4">
                  <c:v>154.1101301369863</c:v>
                </c:pt>
                <c:pt idx="5">
                  <c:v>149.13883561643834</c:v>
                </c:pt>
                <c:pt idx="6">
                  <c:v>154.1101301369863</c:v>
                </c:pt>
                <c:pt idx="7">
                  <c:v>154.1101301369863</c:v>
                </c:pt>
                <c:pt idx="8">
                  <c:v>149.13883561643834</c:v>
                </c:pt>
                <c:pt idx="9">
                  <c:v>154.1101301369863</c:v>
                </c:pt>
                <c:pt idx="10">
                  <c:v>149.13883561643834</c:v>
                </c:pt>
                <c:pt idx="11">
                  <c:v>154.1101301369863</c:v>
                </c:pt>
              </c:numCache>
            </c:numRef>
          </c:val>
        </c:ser>
        <c:ser>
          <c:idx val="1"/>
          <c:order val="2"/>
          <c:tx>
            <c:v>Taloussähkö</c:v>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val>
            <c:numRef>
              <c:f>'ET-luvun Laskenta'!$W$18:$W$29</c:f>
              <c:numCache>
                <c:ptCount val="12"/>
                <c:pt idx="0">
                  <c:v>849.3150684931508</c:v>
                </c:pt>
                <c:pt idx="1">
                  <c:v>767.1232876712329</c:v>
                </c:pt>
                <c:pt idx="2">
                  <c:v>849.3150684931508</c:v>
                </c:pt>
                <c:pt idx="3">
                  <c:v>821.9178082191781</c:v>
                </c:pt>
                <c:pt idx="4">
                  <c:v>849.3150684931508</c:v>
                </c:pt>
                <c:pt idx="5">
                  <c:v>821.9178082191781</c:v>
                </c:pt>
                <c:pt idx="6">
                  <c:v>849.3150684931508</c:v>
                </c:pt>
                <c:pt idx="7">
                  <c:v>849.3150684931508</c:v>
                </c:pt>
                <c:pt idx="8">
                  <c:v>821.9178082191781</c:v>
                </c:pt>
                <c:pt idx="9">
                  <c:v>849.3150684931508</c:v>
                </c:pt>
                <c:pt idx="10">
                  <c:v>821.9178082191781</c:v>
                </c:pt>
                <c:pt idx="11">
                  <c:v>849.3150684931508</c:v>
                </c:pt>
              </c:numCache>
            </c:numRef>
          </c:val>
        </c:ser>
        <c:overlap val="100"/>
        <c:gapWidth val="70"/>
        <c:axId val="43142546"/>
        <c:axId val="52738595"/>
      </c:barChart>
      <c:catAx>
        <c:axId val="43142546"/>
        <c:scaling>
          <c:orientation val="minMax"/>
        </c:scaling>
        <c:axPos val="b"/>
        <c:delete val="0"/>
        <c:numFmt formatCode="General" sourceLinked="1"/>
        <c:majorTickMark val="out"/>
        <c:minorTickMark val="none"/>
        <c:tickLblPos val="nextTo"/>
        <c:crossAx val="52738595"/>
        <c:crosses val="autoZero"/>
        <c:auto val="1"/>
        <c:lblOffset val="100"/>
        <c:noMultiLvlLbl val="0"/>
      </c:catAx>
      <c:valAx>
        <c:axId val="52738595"/>
        <c:scaling>
          <c:orientation val="minMax"/>
          <c:max val="3500"/>
        </c:scaling>
        <c:axPos val="l"/>
        <c:title>
          <c:tx>
            <c:rich>
              <a:bodyPr vert="horz" rot="-5400000" anchor="ctr"/>
              <a:lstStyle/>
              <a:p>
                <a:pPr algn="ctr">
                  <a:defRPr/>
                </a:pPr>
                <a:r>
                  <a:rPr lang="en-US" cap="none" sz="125" b="1" i="0" u="none" baseline="0">
                    <a:latin typeface="Arial"/>
                    <a:ea typeface="Arial"/>
                    <a:cs typeface="Arial"/>
                  </a:rPr>
                  <a:t>Ostoenergian kulutus (kWh/kk)</a:t>
                </a:r>
              </a:p>
            </c:rich>
          </c:tx>
          <c:layout/>
          <c:overlay val="0"/>
          <c:spPr>
            <a:noFill/>
            <a:ln>
              <a:noFill/>
            </a:ln>
          </c:spPr>
        </c:title>
        <c:majorGridlines/>
        <c:delete val="0"/>
        <c:numFmt formatCode="General" sourceLinked="1"/>
        <c:majorTickMark val="out"/>
        <c:minorTickMark val="none"/>
        <c:tickLblPos val="nextTo"/>
        <c:crossAx val="43142546"/>
        <c:crossesAt val="1"/>
        <c:crossBetween val="between"/>
        <c:dispUnits/>
      </c:valAx>
      <c:spPr>
        <a:solidFill>
          <a:srgbClr val="FFFFFF"/>
        </a:solidFill>
        <a:ln w="12700">
          <a:solidFill>
            <a:srgbClr val="808080"/>
          </a:solidFill>
        </a:ln>
      </c:spPr>
    </c:plotArea>
    <c:legend>
      <c:legendPos val="t"/>
      <c:layout/>
      <c:overlay val="0"/>
      <c:txPr>
        <a:bodyPr vert="horz" rot="0"/>
        <a:lstStyle/>
        <a:p>
          <a:pPr>
            <a:defRPr lang="en-US" cap="none" sz="100" b="0" i="0" u="none" baseline="0">
              <a:latin typeface="Arial"/>
              <a:ea typeface="Arial"/>
              <a:cs typeface="Arial"/>
            </a:defRPr>
          </a:pPr>
        </a:p>
      </c:txPr>
    </c:legend>
    <c:plotVisOnly val="1"/>
    <c:dispBlanksAs val="gap"/>
    <c:showDLblsOverMax val="0"/>
  </c:chart>
  <c:spPr>
    <a:blipFill>
      <a:blip r:embed="rId1"/>
      <a:srcRect/>
      <a:tile sx="100000" sy="100000" flip="none" algn="tl"/>
    </a:blipFill>
    <a:effectLst>
      <a:outerShdw dist="35921" dir="2700000" algn="br">
        <a:prstClr val="black"/>
      </a:outerShdw>
    </a:effectLst>
  </c:spPr>
  <c:txPr>
    <a:bodyPr vert="horz" rot="0"/>
    <a:lstStyle/>
    <a:p>
      <a:pPr>
        <a:defRPr lang="en-US" cap="none" sz="12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50" b="1" i="0" u="sng" baseline="0">
                <a:latin typeface="Arial"/>
                <a:ea typeface="Arial"/>
                <a:cs typeface="Arial"/>
              </a:rPr>
              <a:t>Osto</a:t>
            </a:r>
            <a:r>
              <a:rPr lang="en-US" cap="none" sz="150" b="1" i="0" u="none" baseline="0">
                <a:latin typeface="Arial"/>
                <a:ea typeface="Arial"/>
                <a:cs typeface="Arial"/>
              </a:rPr>
              <a:t>energian kuukausimaksu per huoneistoala</a:t>
            </a:r>
          </a:p>
        </c:rich>
      </c:tx>
      <c:layout/>
      <c:spPr>
        <a:noFill/>
        <a:ln>
          <a:noFill/>
        </a:ln>
      </c:spPr>
    </c:title>
    <c:plotArea>
      <c:layout/>
      <c:barChart>
        <c:barDir val="col"/>
        <c:grouping val="stacked"/>
        <c:varyColors val="0"/>
        <c:ser>
          <c:idx val="0"/>
          <c:order val="0"/>
          <c:tx>
            <c:v>Tilojen ja käyttöveden lämmitys</c:v>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Lit>
              <c:ptCount val="3"/>
              <c:pt idx="0">
                <c:v>Sähkölämmitys</c:v>
              </c:pt>
              <c:pt idx="1">
                <c:v> Kaukolämpö</c:v>
              </c:pt>
              <c:pt idx="2">
                <c:v>Maalämpöpumppu</c:v>
              </c:pt>
            </c:strLit>
          </c:cat>
          <c:val>
            <c:numRef>
              <c:f>('ET-luvun Laskenta'!$AE$119,'ET-luvun Laskenta'!$AF$119,'ET-luvun Laskenta'!$AG$119)</c:f>
              <c:numCache>
                <c:ptCount val="3"/>
                <c:pt idx="0">
                  <c:v>0.9124358720946338</c:v>
                </c:pt>
                <c:pt idx="1">
                  <c:v>0.5775580134529789</c:v>
                </c:pt>
                <c:pt idx="2">
                  <c:v>0.25144001109902653</c:v>
                </c:pt>
              </c:numCache>
            </c:numRef>
          </c:val>
        </c:ser>
        <c:ser>
          <c:idx val="1"/>
          <c:order val="1"/>
          <c:tx>
            <c:v>Taloussähkö</c:v>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Lit>
              <c:ptCount val="3"/>
              <c:pt idx="0">
                <c:v>Sähkölämmitys</c:v>
              </c:pt>
              <c:pt idx="1">
                <c:v> Kaukolämpö</c:v>
              </c:pt>
              <c:pt idx="2">
                <c:v>Maalämpöpumppu</c:v>
              </c:pt>
            </c:strLit>
          </c:cat>
          <c:val>
            <c:numRef>
              <c:f>('ET-luvun Laskenta'!$AE$120,'ET-luvun Laskenta'!$AF$120,'ET-luvun Laskenta'!$AG$120)</c:f>
              <c:numCache>
                <c:ptCount val="3"/>
                <c:pt idx="0">
                  <c:v>0.5726836022183129</c:v>
                </c:pt>
                <c:pt idx="1">
                  <c:v>0.6818906250000001</c:v>
                </c:pt>
                <c:pt idx="2">
                  <c:v>0.6312578262292103</c:v>
                </c:pt>
              </c:numCache>
            </c:numRef>
          </c:val>
        </c:ser>
        <c:overlap val="100"/>
        <c:gapWidth val="70"/>
        <c:axId val="4885308"/>
        <c:axId val="43967773"/>
      </c:barChart>
      <c:catAx>
        <c:axId val="4885308"/>
        <c:scaling>
          <c:orientation val="minMax"/>
        </c:scaling>
        <c:axPos val="b"/>
        <c:title>
          <c:tx>
            <c:rich>
              <a:bodyPr vert="horz" rot="0" anchor="ctr"/>
              <a:lstStyle/>
              <a:p>
                <a:pPr algn="ctr">
                  <a:defRPr/>
                </a:pPr>
                <a:r>
                  <a:rPr lang="en-US" cap="none" sz="125" b="1" i="0" u="none" baseline="0">
                    <a:latin typeface="Arial"/>
                    <a:ea typeface="Arial"/>
                    <a:cs typeface="Arial"/>
                  </a:rPr>
                  <a:t>Lämmitystapa</a:t>
                </a:r>
              </a:p>
            </c:rich>
          </c:tx>
          <c:layout/>
          <c:overlay val="0"/>
          <c:spPr>
            <a:noFill/>
            <a:ln>
              <a:noFill/>
            </a:ln>
          </c:spPr>
        </c:title>
        <c:delete val="0"/>
        <c:numFmt formatCode="General" sourceLinked="1"/>
        <c:majorTickMark val="out"/>
        <c:minorTickMark val="none"/>
        <c:tickLblPos val="nextTo"/>
        <c:crossAx val="43967773"/>
        <c:crosses val="autoZero"/>
        <c:auto val="0"/>
        <c:lblOffset val="100"/>
        <c:noMultiLvlLbl val="0"/>
      </c:catAx>
      <c:valAx>
        <c:axId val="43967773"/>
        <c:scaling>
          <c:orientation val="minMax"/>
        </c:scaling>
        <c:axPos val="l"/>
        <c:title>
          <c:tx>
            <c:rich>
              <a:bodyPr vert="horz" rot="-5400000" anchor="ctr"/>
              <a:lstStyle/>
              <a:p>
                <a:pPr algn="ctr">
                  <a:defRPr/>
                </a:pPr>
                <a:r>
                  <a:rPr lang="en-US" cap="none" sz="125" b="1" i="0" u="none" baseline="0">
                    <a:latin typeface="Arial"/>
                    <a:ea typeface="Arial"/>
                    <a:cs typeface="Arial"/>
                  </a:rPr>
                  <a:t>Kuukausimaksu (EUR/m</a:t>
                </a:r>
                <a:r>
                  <a:rPr lang="en-US" cap="none" sz="125" b="1" i="0" u="none" baseline="30000">
                    <a:latin typeface="Arial"/>
                    <a:ea typeface="Arial"/>
                    <a:cs typeface="Arial"/>
                  </a:rPr>
                  <a:t>2</a:t>
                </a:r>
                <a:r>
                  <a:rPr lang="en-US" cap="none" sz="125"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crossAx val="4885308"/>
        <c:crossesAt val="1"/>
        <c:crossBetween val="between"/>
        <c:dispUnits/>
      </c:valAx>
      <c:spPr>
        <a:solidFill>
          <a:srgbClr val="FFFFFF"/>
        </a:solidFill>
        <a:ln w="12700">
          <a:solidFill>
            <a:srgbClr val="808080"/>
          </a:solidFill>
        </a:ln>
      </c:spPr>
    </c:plotArea>
    <c:legend>
      <c:legendPos val="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blipFill>
      <a:blip r:embed="rId1"/>
      <a:srcRect/>
      <a:tile sx="100000" sy="100000" flip="none" algn="tl"/>
    </a:blipFill>
    <a:effectLst>
      <a:outerShdw dist="35921" dir="2700000" algn="br">
        <a:prstClr val="black"/>
      </a:outerShdw>
    </a:effectLst>
  </c:spPr>
  <c:txPr>
    <a:bodyPr vert="horz" rot="0"/>
    <a:lstStyle/>
    <a:p>
      <a:pPr>
        <a:defRPr lang="en-US" cap="none" sz="12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150" b="1" i="0" u="none" baseline="0">
                <a:latin typeface="Arial"/>
                <a:ea typeface="Arial"/>
                <a:cs typeface="Arial"/>
              </a:rPr>
              <a:t>Energian kulutus </a:t>
            </a:r>
          </a:p>
        </c:rich>
      </c:tx>
      <c:layout/>
      <c:spPr>
        <a:noFill/>
        <a:ln>
          <a:noFill/>
        </a:ln>
      </c:spPr>
    </c:title>
    <c:plotArea>
      <c:layout/>
      <c:barChart>
        <c:barDir val="col"/>
        <c:grouping val="stacked"/>
        <c:varyColors val="0"/>
        <c:ser>
          <c:idx val="0"/>
          <c:order val="0"/>
          <c:tx>
            <c:v>Tilojen lämmitys</c:v>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val>
            <c:numRef>
              <c:f>'Tasaus- ja energialaskenta'!$AA$18:$AA$29</c:f>
              <c:numCache/>
            </c:numRef>
          </c:val>
        </c:ser>
        <c:ser>
          <c:idx val="1"/>
          <c:order val="1"/>
          <c:tx>
            <c:v>Käyttöveden lämmitys</c:v>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val>
            <c:numRef>
              <c:f>'Tasaus- ja energialaskenta'!$AB$18:$AB$29</c:f>
              <c:numCache/>
            </c:numRef>
          </c:val>
        </c:ser>
        <c:ser>
          <c:idx val="2"/>
          <c:order val="2"/>
          <c:tx>
            <c:v>Taloussähkö</c:v>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val>
            <c:numRef>
              <c:f>'Tasaus- ja energialaskenta'!$S$18:$S$29</c:f>
              <c:numCache/>
            </c:numRef>
          </c:val>
        </c:ser>
        <c:overlap val="100"/>
        <c:gapWidth val="70"/>
        <c:axId val="60165638"/>
        <c:axId val="4619831"/>
      </c:barChart>
      <c:catAx>
        <c:axId val="60165638"/>
        <c:scaling>
          <c:orientation val="minMax"/>
        </c:scaling>
        <c:axPos val="b"/>
        <c:delete val="0"/>
        <c:numFmt formatCode="General" sourceLinked="1"/>
        <c:majorTickMark val="out"/>
        <c:minorTickMark val="none"/>
        <c:tickLblPos val="nextTo"/>
        <c:crossAx val="4619831"/>
        <c:crosses val="autoZero"/>
        <c:auto val="1"/>
        <c:lblOffset val="100"/>
        <c:noMultiLvlLbl val="0"/>
      </c:catAx>
      <c:valAx>
        <c:axId val="4619831"/>
        <c:scaling>
          <c:orientation val="minMax"/>
        </c:scaling>
        <c:axPos val="l"/>
        <c:title>
          <c:tx>
            <c:rich>
              <a:bodyPr vert="horz" rot="-5400000" anchor="ctr"/>
              <a:lstStyle/>
              <a:p>
                <a:pPr algn="ctr">
                  <a:defRPr/>
                </a:pPr>
                <a:r>
                  <a:rPr lang="en-US" cap="none" sz="975" b="1" i="0" u="none" baseline="0">
                    <a:latin typeface="Arial"/>
                    <a:ea typeface="Arial"/>
                    <a:cs typeface="Arial"/>
                  </a:rPr>
                  <a:t>Energian kulutus (kWh/kk)</a:t>
                </a:r>
              </a:p>
            </c:rich>
          </c:tx>
          <c:layout/>
          <c:overlay val="0"/>
          <c:spPr>
            <a:noFill/>
            <a:ln>
              <a:noFill/>
            </a:ln>
          </c:spPr>
        </c:title>
        <c:majorGridlines/>
        <c:delete val="0"/>
        <c:numFmt formatCode="General" sourceLinked="1"/>
        <c:majorTickMark val="out"/>
        <c:minorTickMark val="none"/>
        <c:tickLblPos val="nextTo"/>
        <c:crossAx val="60165638"/>
        <c:crossesAt val="1"/>
        <c:crossBetween val="between"/>
        <c:dispUnits/>
      </c:valAx>
      <c:spPr>
        <a:solidFill>
          <a:srgbClr val="FFFFFF"/>
        </a:solidFill>
        <a:ln w="12700">
          <a:solidFill>
            <a:srgbClr val="808080"/>
          </a:solidFill>
        </a:ln>
      </c:spPr>
    </c:plotArea>
    <c:legend>
      <c:legendPos val="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blipFill>
      <a:blip r:embed="rId1"/>
      <a:srcRect/>
      <a:tile sx="100000" sy="100000" flip="none" algn="tl"/>
    </a:blipFill>
    <a:effectLst>
      <a:outerShdw dist="35921" dir="2700000" algn="br">
        <a:prstClr val="black"/>
      </a:outerShdw>
    </a:effectLst>
  </c:spPr>
  <c:txPr>
    <a:bodyPr vert="horz" rot="0"/>
    <a:lstStyle/>
    <a:p>
      <a:pPr>
        <a:defRPr lang="en-US" cap="none" sz="97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150" b="1" i="0" u="sng" baseline="0">
                <a:latin typeface="Arial"/>
                <a:ea typeface="Arial"/>
                <a:cs typeface="Arial"/>
              </a:rPr>
              <a:t>Osto</a:t>
            </a:r>
            <a:r>
              <a:rPr lang="en-US" cap="none" sz="1150" b="1" i="0" u="none" baseline="0">
                <a:latin typeface="Arial"/>
                <a:ea typeface="Arial"/>
                <a:cs typeface="Arial"/>
              </a:rPr>
              <a:t>energian kulutus</a:t>
            </a:r>
          </a:p>
        </c:rich>
      </c:tx>
      <c:layout/>
      <c:spPr>
        <a:noFill/>
        <a:ln>
          <a:noFill/>
        </a:ln>
      </c:spPr>
    </c:title>
    <c:plotArea>
      <c:layout/>
      <c:barChart>
        <c:barDir val="col"/>
        <c:grouping val="stacked"/>
        <c:varyColors val="0"/>
        <c:ser>
          <c:idx val="0"/>
          <c:order val="0"/>
          <c:tx>
            <c:v>Tilojen lämmitys</c:v>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val>
            <c:numRef>
              <c:f>'Tasaus- ja energialaskenta'!$AA$37:$AA$48</c:f>
              <c:numCache/>
            </c:numRef>
          </c:val>
        </c:ser>
        <c:ser>
          <c:idx val="2"/>
          <c:order val="1"/>
          <c:tx>
            <c:v>Käyttöveden lämmitys</c:v>
          </c:tx>
          <c:spPr>
            <a:solidFill>
              <a:srgbClr val="00CCFF"/>
            </a:solidFill>
          </c:spPr>
          <c:invertIfNegative val="0"/>
          <c:extLst>
            <c:ext xmlns:c14="http://schemas.microsoft.com/office/drawing/2007/8/2/chart" uri="{6F2FDCE9-48DA-4B69-8628-5D25D57E5C99}">
              <c14:invertSolidFillFmt>
                <c14:spPr>
                  <a:solidFill>
                    <a:srgbClr val="FFFFFF"/>
                  </a:solidFill>
                </c14:spPr>
              </c14:invertSolidFillFmt>
            </c:ext>
          </c:extLst>
          <c:val>
            <c:numRef>
              <c:f>'Tasaus- ja energialaskenta'!$AB$37:$AB$48</c:f>
              <c:numCache/>
            </c:numRef>
          </c:val>
        </c:ser>
        <c:ser>
          <c:idx val="1"/>
          <c:order val="2"/>
          <c:tx>
            <c:v>Taloussähkö</c:v>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val>
            <c:numRef>
              <c:f>'Tasaus- ja energialaskenta'!$S$18:$S$29</c:f>
              <c:numCache/>
            </c:numRef>
          </c:val>
        </c:ser>
        <c:overlap val="100"/>
        <c:gapWidth val="70"/>
        <c:axId val="41578480"/>
        <c:axId val="38662001"/>
      </c:barChart>
      <c:catAx>
        <c:axId val="41578480"/>
        <c:scaling>
          <c:orientation val="minMax"/>
        </c:scaling>
        <c:axPos val="b"/>
        <c:delete val="0"/>
        <c:numFmt formatCode="General" sourceLinked="1"/>
        <c:majorTickMark val="out"/>
        <c:minorTickMark val="none"/>
        <c:tickLblPos val="nextTo"/>
        <c:crossAx val="38662001"/>
        <c:crosses val="autoZero"/>
        <c:auto val="1"/>
        <c:lblOffset val="100"/>
        <c:noMultiLvlLbl val="0"/>
      </c:catAx>
      <c:valAx>
        <c:axId val="38662001"/>
        <c:scaling>
          <c:orientation val="minMax"/>
        </c:scaling>
        <c:axPos val="l"/>
        <c:title>
          <c:tx>
            <c:rich>
              <a:bodyPr vert="horz" rot="-5400000" anchor="ctr"/>
              <a:lstStyle/>
              <a:p>
                <a:pPr algn="ctr">
                  <a:defRPr/>
                </a:pPr>
                <a:r>
                  <a:rPr lang="en-US" cap="none" sz="975" b="1" i="0" u="none" baseline="0">
                    <a:latin typeface="Arial"/>
                    <a:ea typeface="Arial"/>
                    <a:cs typeface="Arial"/>
                  </a:rPr>
                  <a:t>Ostoenergian kulutus (kWh/kk)</a:t>
                </a:r>
              </a:p>
            </c:rich>
          </c:tx>
          <c:layout/>
          <c:overlay val="0"/>
          <c:spPr>
            <a:noFill/>
            <a:ln>
              <a:noFill/>
            </a:ln>
          </c:spPr>
        </c:title>
        <c:majorGridlines/>
        <c:delete val="0"/>
        <c:numFmt formatCode="General" sourceLinked="1"/>
        <c:majorTickMark val="out"/>
        <c:minorTickMark val="none"/>
        <c:tickLblPos val="nextTo"/>
        <c:crossAx val="41578480"/>
        <c:crossesAt val="1"/>
        <c:crossBetween val="between"/>
        <c:dispUnits/>
      </c:valAx>
      <c:spPr>
        <a:solidFill>
          <a:srgbClr val="FFFFFF"/>
        </a:solidFill>
        <a:ln w="12700">
          <a:solidFill>
            <a:srgbClr val="808080"/>
          </a:solidFill>
        </a:ln>
      </c:spPr>
    </c:plotArea>
    <c:legend>
      <c:legendPos val="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blipFill>
      <a:blip r:embed="rId1"/>
      <a:srcRect/>
      <a:tile sx="100000" sy="100000" flip="none" algn="tl"/>
    </a:blipFill>
    <a:effectLst>
      <a:outerShdw dist="35921" dir="2700000" algn="br">
        <a:prstClr val="black"/>
      </a:outerShdw>
    </a:effectLst>
  </c:spPr>
  <c:txPr>
    <a:bodyPr vert="horz" rot="0"/>
    <a:lstStyle/>
    <a:p>
      <a:pPr>
        <a:defRPr lang="en-US" cap="none" sz="9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 Id="rId5" Type="http://schemas.openxmlformats.org/officeDocument/2006/relationships/chart" Target="/xl/charts/chart9.xml" /><Relationship Id="rId6" Type="http://schemas.openxmlformats.org/officeDocument/2006/relationships/chart" Target="/xl/charts/chart10.xml" /><Relationship Id="rId7"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0</xdr:colOff>
      <xdr:row>11</xdr:row>
      <xdr:rowOff>9525</xdr:rowOff>
    </xdr:from>
    <xdr:to>
      <xdr:col>33</xdr:col>
      <xdr:colOff>0</xdr:colOff>
      <xdr:row>33</xdr:row>
      <xdr:rowOff>85725</xdr:rowOff>
    </xdr:to>
    <xdr:graphicFrame>
      <xdr:nvGraphicFramePr>
        <xdr:cNvPr id="1" name="Chart 1"/>
        <xdr:cNvGraphicFramePr/>
      </xdr:nvGraphicFramePr>
      <xdr:xfrm>
        <a:off x="23898225" y="1600200"/>
        <a:ext cx="0" cy="3219450"/>
      </xdr:xfrm>
      <a:graphic>
        <a:graphicData uri="http://schemas.openxmlformats.org/drawingml/2006/chart">
          <c:chart xmlns:c="http://schemas.openxmlformats.org/drawingml/2006/chart" r:id="rId1"/>
        </a:graphicData>
      </a:graphic>
    </xdr:graphicFrame>
    <xdr:clientData/>
  </xdr:twoCellAnchor>
  <xdr:twoCellAnchor>
    <xdr:from>
      <xdr:col>33</xdr:col>
      <xdr:colOff>0</xdr:colOff>
      <xdr:row>36</xdr:row>
      <xdr:rowOff>0</xdr:rowOff>
    </xdr:from>
    <xdr:to>
      <xdr:col>33</xdr:col>
      <xdr:colOff>0</xdr:colOff>
      <xdr:row>58</xdr:row>
      <xdr:rowOff>76200</xdr:rowOff>
    </xdr:to>
    <xdr:graphicFrame>
      <xdr:nvGraphicFramePr>
        <xdr:cNvPr id="2" name="Chart 4"/>
        <xdr:cNvGraphicFramePr/>
      </xdr:nvGraphicFramePr>
      <xdr:xfrm>
        <a:off x="23898225" y="5162550"/>
        <a:ext cx="0" cy="3219450"/>
      </xdr:xfrm>
      <a:graphic>
        <a:graphicData uri="http://schemas.openxmlformats.org/drawingml/2006/chart">
          <c:chart xmlns:c="http://schemas.openxmlformats.org/drawingml/2006/chart" r:id="rId2"/>
        </a:graphicData>
      </a:graphic>
    </xdr:graphicFrame>
    <xdr:clientData/>
  </xdr:twoCellAnchor>
  <xdr:twoCellAnchor>
    <xdr:from>
      <xdr:col>33</xdr:col>
      <xdr:colOff>0</xdr:colOff>
      <xdr:row>102</xdr:row>
      <xdr:rowOff>0</xdr:rowOff>
    </xdr:from>
    <xdr:to>
      <xdr:col>33</xdr:col>
      <xdr:colOff>0</xdr:colOff>
      <xdr:row>124</xdr:row>
      <xdr:rowOff>66675</xdr:rowOff>
    </xdr:to>
    <xdr:graphicFrame>
      <xdr:nvGraphicFramePr>
        <xdr:cNvPr id="3" name="Chart 7"/>
        <xdr:cNvGraphicFramePr/>
      </xdr:nvGraphicFramePr>
      <xdr:xfrm>
        <a:off x="23898225" y="14611350"/>
        <a:ext cx="0" cy="3209925"/>
      </xdr:xfrm>
      <a:graphic>
        <a:graphicData uri="http://schemas.openxmlformats.org/drawingml/2006/chart">
          <c:chart xmlns:c="http://schemas.openxmlformats.org/drawingml/2006/chart" r:id="rId3"/>
        </a:graphicData>
      </a:graphic>
    </xdr:graphicFrame>
    <xdr:clientData/>
  </xdr:twoCellAnchor>
  <xdr:twoCellAnchor>
    <xdr:from>
      <xdr:col>33</xdr:col>
      <xdr:colOff>0</xdr:colOff>
      <xdr:row>77</xdr:row>
      <xdr:rowOff>0</xdr:rowOff>
    </xdr:from>
    <xdr:to>
      <xdr:col>33</xdr:col>
      <xdr:colOff>0</xdr:colOff>
      <xdr:row>99</xdr:row>
      <xdr:rowOff>76200</xdr:rowOff>
    </xdr:to>
    <xdr:graphicFrame>
      <xdr:nvGraphicFramePr>
        <xdr:cNvPr id="4" name="Chart 192"/>
        <xdr:cNvGraphicFramePr/>
      </xdr:nvGraphicFramePr>
      <xdr:xfrm>
        <a:off x="23898225" y="11039475"/>
        <a:ext cx="0" cy="3219450"/>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21</xdr:row>
      <xdr:rowOff>19050</xdr:rowOff>
    </xdr:from>
    <xdr:to>
      <xdr:col>4</xdr:col>
      <xdr:colOff>19050</xdr:colOff>
      <xdr:row>21</xdr:row>
      <xdr:rowOff>200025</xdr:rowOff>
    </xdr:to>
    <xdr:pic>
      <xdr:nvPicPr>
        <xdr:cNvPr id="1" name="Picture 2"/>
        <xdr:cNvPicPr preferRelativeResize="1">
          <a:picLocks noChangeAspect="1"/>
        </xdr:cNvPicPr>
      </xdr:nvPicPr>
      <xdr:blipFill>
        <a:blip r:embed="rId1"/>
        <a:stretch>
          <a:fillRect/>
        </a:stretch>
      </xdr:blipFill>
      <xdr:spPr>
        <a:xfrm>
          <a:off x="1524000" y="3676650"/>
          <a:ext cx="581025" cy="180975"/>
        </a:xfrm>
        <a:prstGeom prst="rect">
          <a:avLst/>
        </a:prstGeom>
        <a:noFill/>
        <a:ln w="1" cmpd="sng">
          <a:noFill/>
        </a:ln>
      </xdr:spPr>
    </xdr:pic>
    <xdr:clientData/>
  </xdr:twoCellAnchor>
  <xdr:twoCellAnchor editAs="oneCell">
    <xdr:from>
      <xdr:col>3</xdr:col>
      <xdr:colOff>28575</xdr:colOff>
      <xdr:row>22</xdr:row>
      <xdr:rowOff>19050</xdr:rowOff>
    </xdr:from>
    <xdr:to>
      <xdr:col>4</xdr:col>
      <xdr:colOff>390525</xdr:colOff>
      <xdr:row>22</xdr:row>
      <xdr:rowOff>219075</xdr:rowOff>
    </xdr:to>
    <xdr:pic>
      <xdr:nvPicPr>
        <xdr:cNvPr id="2" name="Picture 3"/>
        <xdr:cNvPicPr preferRelativeResize="1">
          <a:picLocks noChangeAspect="1"/>
        </xdr:cNvPicPr>
      </xdr:nvPicPr>
      <xdr:blipFill>
        <a:blip r:embed="rId2"/>
        <a:stretch>
          <a:fillRect/>
        </a:stretch>
      </xdr:blipFill>
      <xdr:spPr>
        <a:xfrm>
          <a:off x="1524000" y="3895725"/>
          <a:ext cx="952500" cy="200025"/>
        </a:xfrm>
        <a:prstGeom prst="rect">
          <a:avLst/>
        </a:prstGeom>
        <a:noFill/>
        <a:ln w="1" cmpd="sng">
          <a:noFill/>
        </a:ln>
      </xdr:spPr>
    </xdr:pic>
    <xdr:clientData/>
  </xdr:twoCellAnchor>
  <xdr:twoCellAnchor editAs="oneCell">
    <xdr:from>
      <xdr:col>3</xdr:col>
      <xdr:colOff>28575</xdr:colOff>
      <xdr:row>23</xdr:row>
      <xdr:rowOff>19050</xdr:rowOff>
    </xdr:from>
    <xdr:to>
      <xdr:col>5</xdr:col>
      <xdr:colOff>85725</xdr:colOff>
      <xdr:row>23</xdr:row>
      <xdr:rowOff>219075</xdr:rowOff>
    </xdr:to>
    <xdr:pic>
      <xdr:nvPicPr>
        <xdr:cNvPr id="3" name="Picture 4"/>
        <xdr:cNvPicPr preferRelativeResize="1">
          <a:picLocks noChangeAspect="1"/>
        </xdr:cNvPicPr>
      </xdr:nvPicPr>
      <xdr:blipFill>
        <a:blip r:embed="rId3"/>
        <a:stretch>
          <a:fillRect/>
        </a:stretch>
      </xdr:blipFill>
      <xdr:spPr>
        <a:xfrm>
          <a:off x="1524000" y="4124325"/>
          <a:ext cx="1238250" cy="200025"/>
        </a:xfrm>
        <a:prstGeom prst="rect">
          <a:avLst/>
        </a:prstGeom>
        <a:noFill/>
        <a:ln w="1" cmpd="sng">
          <a:noFill/>
        </a:ln>
      </xdr:spPr>
    </xdr:pic>
    <xdr:clientData/>
  </xdr:twoCellAnchor>
  <xdr:twoCellAnchor editAs="oneCell">
    <xdr:from>
      <xdr:col>3</xdr:col>
      <xdr:colOff>38100</xdr:colOff>
      <xdr:row>24</xdr:row>
      <xdr:rowOff>19050</xdr:rowOff>
    </xdr:from>
    <xdr:to>
      <xdr:col>5</xdr:col>
      <xdr:colOff>381000</xdr:colOff>
      <xdr:row>24</xdr:row>
      <xdr:rowOff>219075</xdr:rowOff>
    </xdr:to>
    <xdr:pic>
      <xdr:nvPicPr>
        <xdr:cNvPr id="4" name="Picture 5"/>
        <xdr:cNvPicPr preferRelativeResize="1">
          <a:picLocks noChangeAspect="1"/>
        </xdr:cNvPicPr>
      </xdr:nvPicPr>
      <xdr:blipFill>
        <a:blip r:embed="rId4"/>
        <a:stretch>
          <a:fillRect/>
        </a:stretch>
      </xdr:blipFill>
      <xdr:spPr>
        <a:xfrm>
          <a:off x="1533525" y="4352925"/>
          <a:ext cx="1524000" cy="200025"/>
        </a:xfrm>
        <a:prstGeom prst="rect">
          <a:avLst/>
        </a:prstGeom>
        <a:noFill/>
        <a:ln w="1" cmpd="sng">
          <a:noFill/>
        </a:ln>
      </xdr:spPr>
    </xdr:pic>
    <xdr:clientData/>
  </xdr:twoCellAnchor>
  <xdr:twoCellAnchor editAs="oneCell">
    <xdr:from>
      <xdr:col>3</xdr:col>
      <xdr:colOff>28575</xdr:colOff>
      <xdr:row>25</xdr:row>
      <xdr:rowOff>19050</xdr:rowOff>
    </xdr:from>
    <xdr:to>
      <xdr:col>6</xdr:col>
      <xdr:colOff>9525</xdr:colOff>
      <xdr:row>25</xdr:row>
      <xdr:rowOff>209550</xdr:rowOff>
    </xdr:to>
    <xdr:pic>
      <xdr:nvPicPr>
        <xdr:cNvPr id="5" name="Picture 6"/>
        <xdr:cNvPicPr preferRelativeResize="1">
          <a:picLocks noChangeAspect="1"/>
        </xdr:cNvPicPr>
      </xdr:nvPicPr>
      <xdr:blipFill>
        <a:blip r:embed="rId5"/>
        <a:stretch>
          <a:fillRect/>
        </a:stretch>
      </xdr:blipFill>
      <xdr:spPr>
        <a:xfrm>
          <a:off x="1524000" y="4581525"/>
          <a:ext cx="1752600" cy="190500"/>
        </a:xfrm>
        <a:prstGeom prst="rect">
          <a:avLst/>
        </a:prstGeom>
        <a:noFill/>
        <a:ln w="1" cmpd="sng">
          <a:noFill/>
        </a:ln>
      </xdr:spPr>
    </xdr:pic>
    <xdr:clientData/>
  </xdr:twoCellAnchor>
  <xdr:twoCellAnchor editAs="oneCell">
    <xdr:from>
      <xdr:col>3</xdr:col>
      <xdr:colOff>28575</xdr:colOff>
      <xdr:row>26</xdr:row>
      <xdr:rowOff>19050</xdr:rowOff>
    </xdr:from>
    <xdr:to>
      <xdr:col>6</xdr:col>
      <xdr:colOff>323850</xdr:colOff>
      <xdr:row>26</xdr:row>
      <xdr:rowOff>219075</xdr:rowOff>
    </xdr:to>
    <xdr:pic>
      <xdr:nvPicPr>
        <xdr:cNvPr id="6" name="Picture 7"/>
        <xdr:cNvPicPr preferRelativeResize="1">
          <a:picLocks noChangeAspect="1"/>
        </xdr:cNvPicPr>
      </xdr:nvPicPr>
      <xdr:blipFill>
        <a:blip r:embed="rId6"/>
        <a:stretch>
          <a:fillRect/>
        </a:stretch>
      </xdr:blipFill>
      <xdr:spPr>
        <a:xfrm>
          <a:off x="1524000" y="4810125"/>
          <a:ext cx="2066925" cy="200025"/>
        </a:xfrm>
        <a:prstGeom prst="rect">
          <a:avLst/>
        </a:prstGeom>
        <a:noFill/>
        <a:ln w="1" cmpd="sng">
          <a:noFill/>
        </a:ln>
      </xdr:spPr>
    </xdr:pic>
    <xdr:clientData/>
  </xdr:twoCellAnchor>
  <xdr:twoCellAnchor editAs="oneCell">
    <xdr:from>
      <xdr:col>3</xdr:col>
      <xdr:colOff>28575</xdr:colOff>
      <xdr:row>27</xdr:row>
      <xdr:rowOff>19050</xdr:rowOff>
    </xdr:from>
    <xdr:to>
      <xdr:col>7</xdr:col>
      <xdr:colOff>19050</xdr:colOff>
      <xdr:row>27</xdr:row>
      <xdr:rowOff>219075</xdr:rowOff>
    </xdr:to>
    <xdr:pic>
      <xdr:nvPicPr>
        <xdr:cNvPr id="7" name="Picture 8"/>
        <xdr:cNvPicPr preferRelativeResize="1">
          <a:picLocks noChangeAspect="1"/>
        </xdr:cNvPicPr>
      </xdr:nvPicPr>
      <xdr:blipFill>
        <a:blip r:embed="rId7"/>
        <a:stretch>
          <a:fillRect/>
        </a:stretch>
      </xdr:blipFill>
      <xdr:spPr>
        <a:xfrm>
          <a:off x="1524000" y="5038725"/>
          <a:ext cx="2352675" cy="200025"/>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0</xdr:rowOff>
    </xdr:from>
    <xdr:to>
      <xdr:col>9</xdr:col>
      <xdr:colOff>0</xdr:colOff>
      <xdr:row>0</xdr:row>
      <xdr:rowOff>0</xdr:rowOff>
    </xdr:to>
    <xdr:graphicFrame>
      <xdr:nvGraphicFramePr>
        <xdr:cNvPr id="1" name="Chart 87"/>
        <xdr:cNvGraphicFramePr/>
      </xdr:nvGraphicFramePr>
      <xdr:xfrm>
        <a:off x="6057900" y="0"/>
        <a:ext cx="0" cy="0"/>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0</xdr:row>
      <xdr:rowOff>0</xdr:rowOff>
    </xdr:from>
    <xdr:to>
      <xdr:col>9</xdr:col>
      <xdr:colOff>0</xdr:colOff>
      <xdr:row>0</xdr:row>
      <xdr:rowOff>0</xdr:rowOff>
    </xdr:to>
    <xdr:graphicFrame>
      <xdr:nvGraphicFramePr>
        <xdr:cNvPr id="2" name="Chart 88"/>
        <xdr:cNvGraphicFramePr/>
      </xdr:nvGraphicFramePr>
      <xdr:xfrm>
        <a:off x="6057900" y="0"/>
        <a:ext cx="0" cy="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0</xdr:row>
      <xdr:rowOff>0</xdr:rowOff>
    </xdr:from>
    <xdr:to>
      <xdr:col>9</xdr:col>
      <xdr:colOff>0</xdr:colOff>
      <xdr:row>0</xdr:row>
      <xdr:rowOff>0</xdr:rowOff>
    </xdr:to>
    <xdr:graphicFrame>
      <xdr:nvGraphicFramePr>
        <xdr:cNvPr id="3" name="Chart 89"/>
        <xdr:cNvGraphicFramePr/>
      </xdr:nvGraphicFramePr>
      <xdr:xfrm>
        <a:off x="6057900" y="0"/>
        <a:ext cx="0" cy="0"/>
      </xdr:xfrm>
      <a:graphic>
        <a:graphicData uri="http://schemas.openxmlformats.org/drawingml/2006/chart">
          <c:chart xmlns:c="http://schemas.openxmlformats.org/drawingml/2006/chart" r:id="rId3"/>
        </a:graphicData>
      </a:graphic>
    </xdr:graphicFrame>
    <xdr:clientData/>
  </xdr:twoCellAnchor>
  <xdr:twoCellAnchor>
    <xdr:from>
      <xdr:col>30</xdr:col>
      <xdr:colOff>9525</xdr:colOff>
      <xdr:row>11</xdr:row>
      <xdr:rowOff>9525</xdr:rowOff>
    </xdr:from>
    <xdr:to>
      <xdr:col>38</xdr:col>
      <xdr:colOff>0</xdr:colOff>
      <xdr:row>33</xdr:row>
      <xdr:rowOff>85725</xdr:rowOff>
    </xdr:to>
    <xdr:graphicFrame>
      <xdr:nvGraphicFramePr>
        <xdr:cNvPr id="4" name="Chart 308"/>
        <xdr:cNvGraphicFramePr/>
      </xdr:nvGraphicFramePr>
      <xdr:xfrm>
        <a:off x="18478500" y="1600200"/>
        <a:ext cx="4714875" cy="3219450"/>
      </xdr:xfrm>
      <a:graphic>
        <a:graphicData uri="http://schemas.openxmlformats.org/drawingml/2006/chart">
          <c:chart xmlns:c="http://schemas.openxmlformats.org/drawingml/2006/chart" r:id="rId4"/>
        </a:graphicData>
      </a:graphic>
    </xdr:graphicFrame>
    <xdr:clientData/>
  </xdr:twoCellAnchor>
  <xdr:twoCellAnchor>
    <xdr:from>
      <xdr:col>30</xdr:col>
      <xdr:colOff>0</xdr:colOff>
      <xdr:row>36</xdr:row>
      <xdr:rowOff>0</xdr:rowOff>
    </xdr:from>
    <xdr:to>
      <xdr:col>37</xdr:col>
      <xdr:colOff>581025</xdr:colOff>
      <xdr:row>58</xdr:row>
      <xdr:rowOff>76200</xdr:rowOff>
    </xdr:to>
    <xdr:graphicFrame>
      <xdr:nvGraphicFramePr>
        <xdr:cNvPr id="5" name="Chart 309"/>
        <xdr:cNvGraphicFramePr/>
      </xdr:nvGraphicFramePr>
      <xdr:xfrm>
        <a:off x="18468975" y="5162550"/>
        <a:ext cx="4714875" cy="3219450"/>
      </xdr:xfrm>
      <a:graphic>
        <a:graphicData uri="http://schemas.openxmlformats.org/drawingml/2006/chart">
          <c:chart xmlns:c="http://schemas.openxmlformats.org/drawingml/2006/chart" r:id="rId5"/>
        </a:graphicData>
      </a:graphic>
    </xdr:graphicFrame>
    <xdr:clientData/>
  </xdr:twoCellAnchor>
  <xdr:twoCellAnchor>
    <xdr:from>
      <xdr:col>29</xdr:col>
      <xdr:colOff>581025</xdr:colOff>
      <xdr:row>77</xdr:row>
      <xdr:rowOff>0</xdr:rowOff>
    </xdr:from>
    <xdr:to>
      <xdr:col>37</xdr:col>
      <xdr:colOff>581025</xdr:colOff>
      <xdr:row>99</xdr:row>
      <xdr:rowOff>66675</xdr:rowOff>
    </xdr:to>
    <xdr:graphicFrame>
      <xdr:nvGraphicFramePr>
        <xdr:cNvPr id="6" name="Chart 310"/>
        <xdr:cNvGraphicFramePr/>
      </xdr:nvGraphicFramePr>
      <xdr:xfrm>
        <a:off x="18459450" y="11020425"/>
        <a:ext cx="4724400" cy="3209925"/>
      </xdr:xfrm>
      <a:graphic>
        <a:graphicData uri="http://schemas.openxmlformats.org/drawingml/2006/chart">
          <c:chart xmlns:c="http://schemas.openxmlformats.org/drawingml/2006/chart" r:id="rId6"/>
        </a:graphicData>
      </a:graphic>
    </xdr:graphicFrame>
    <xdr:clientData/>
  </xdr:twoCellAnchor>
  <xdr:twoCellAnchor>
    <xdr:from>
      <xdr:col>30</xdr:col>
      <xdr:colOff>0</xdr:colOff>
      <xdr:row>102</xdr:row>
      <xdr:rowOff>0</xdr:rowOff>
    </xdr:from>
    <xdr:to>
      <xdr:col>38</xdr:col>
      <xdr:colOff>9525</xdr:colOff>
      <xdr:row>124</xdr:row>
      <xdr:rowOff>76200</xdr:rowOff>
    </xdr:to>
    <xdr:graphicFrame>
      <xdr:nvGraphicFramePr>
        <xdr:cNvPr id="7" name="Chart 394"/>
        <xdr:cNvGraphicFramePr/>
      </xdr:nvGraphicFramePr>
      <xdr:xfrm>
        <a:off x="18468975" y="14592300"/>
        <a:ext cx="4733925" cy="3219450"/>
      </xdr:xfrm>
      <a:graphic>
        <a:graphicData uri="http://schemas.openxmlformats.org/drawingml/2006/chart">
          <c:chart xmlns:c="http://schemas.openxmlformats.org/drawingml/2006/chart"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ymparisto.fi/download.asp?contentid=69993&amp;lan=FI" TargetMode="External" /><Relationship Id="rId2" Type="http://schemas.openxmlformats.org/officeDocument/2006/relationships/hyperlink" Target="http://www.ymparisto.fi/default.asp?node=1364&amp;lan=fi" TargetMode="External" /><Relationship Id="rId3" Type="http://schemas.openxmlformats.org/officeDocument/2006/relationships/hyperlink" Target="http://www.ymparisto.fi/download.asp?contentid=80008&amp;lan=en" TargetMode="External" /><Relationship Id="rId4" Type="http://schemas.openxmlformats.org/officeDocument/2006/relationships/hyperlink" Target="http://www.ymparisto.fi/download.asp?contentid=84298&amp;lan=Fi" TargetMode="External" /><Relationship Id="rId5" Type="http://schemas.openxmlformats.org/officeDocument/2006/relationships/hyperlink" Target="http://www.ymparisto.fi/download.asp?contentid=82328&amp;lan=fi" TargetMode="External" /><Relationship Id="rId6"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5:B39"/>
  <sheetViews>
    <sheetView tabSelected="1" workbookViewId="0" topLeftCell="A1">
      <selection activeCell="B6" sqref="B6"/>
    </sheetView>
  </sheetViews>
  <sheetFormatPr defaultColWidth="9.140625" defaultRowHeight="12.75"/>
  <cols>
    <col min="1" max="1" width="2.00390625" style="518" customWidth="1"/>
    <col min="2" max="2" width="87.57421875" style="2" customWidth="1"/>
    <col min="3" max="3" width="2.00390625" style="518" customWidth="1"/>
    <col min="4" max="16384" width="8.8515625" style="518" customWidth="1"/>
  </cols>
  <sheetData>
    <row r="5" ht="129">
      <c r="B5" s="758" t="s">
        <v>48</v>
      </c>
    </row>
    <row r="8" ht="90.75">
      <c r="B8" s="755" t="s">
        <v>49</v>
      </c>
    </row>
    <row r="10" ht="15">
      <c r="B10" s="756" t="s">
        <v>35</v>
      </c>
    </row>
    <row r="11" ht="15">
      <c r="B11" s="756" t="s">
        <v>36</v>
      </c>
    </row>
    <row r="12" ht="15">
      <c r="B12" s="756" t="s">
        <v>40</v>
      </c>
    </row>
    <row r="13" ht="15">
      <c r="B13" s="756" t="s">
        <v>41</v>
      </c>
    </row>
    <row r="14" ht="12.75">
      <c r="B14" s="3"/>
    </row>
    <row r="15" ht="15">
      <c r="B15" s="755" t="s">
        <v>120</v>
      </c>
    </row>
    <row r="16" ht="15">
      <c r="B16" s="755"/>
    </row>
    <row r="17" ht="15">
      <c r="B17" s="756" t="s">
        <v>42</v>
      </c>
    </row>
    <row r="18" ht="30.75">
      <c r="B18" s="756" t="s">
        <v>45</v>
      </c>
    </row>
    <row r="19" ht="30">
      <c r="B19" s="756" t="s">
        <v>46</v>
      </c>
    </row>
    <row r="22" ht="12.75">
      <c r="B22" s="2" t="s">
        <v>85</v>
      </c>
    </row>
    <row r="23" ht="12.75">
      <c r="B23" s="2" t="s">
        <v>735</v>
      </c>
    </row>
    <row r="24" ht="12.75">
      <c r="B24" s="2" t="s">
        <v>118</v>
      </c>
    </row>
    <row r="25" ht="12.75">
      <c r="B25" s="2" t="s">
        <v>736</v>
      </c>
    </row>
    <row r="26" ht="12.75">
      <c r="B26" s="2" t="s">
        <v>119</v>
      </c>
    </row>
    <row r="27" ht="12.75">
      <c r="B27" s="2" t="s">
        <v>737</v>
      </c>
    </row>
    <row r="28" ht="12.75">
      <c r="B28" s="2" t="s">
        <v>68</v>
      </c>
    </row>
    <row r="29" ht="12.75">
      <c r="B29" s="2" t="s">
        <v>738</v>
      </c>
    </row>
    <row r="33" ht="12.75">
      <c r="B33" s="757" t="s">
        <v>43</v>
      </c>
    </row>
    <row r="34" ht="12.75">
      <c r="B34" s="3" t="s">
        <v>44</v>
      </c>
    </row>
    <row r="35" ht="12.75">
      <c r="B35" s="3"/>
    </row>
    <row r="37" ht="12.75">
      <c r="B37" s="519" t="s">
        <v>739</v>
      </c>
    </row>
    <row r="38" ht="13.5">
      <c r="B38" s="519" t="s">
        <v>740</v>
      </c>
    </row>
    <row r="39" ht="12.75">
      <c r="B39" s="520" t="s">
        <v>741</v>
      </c>
    </row>
    <row r="40" s="521" customFormat="1" ht="11.25"/>
  </sheetData>
  <sheetProtection password="DEC3" sheet="1" objects="1" scenarios="1" selectLockedCells="1"/>
  <printOptions/>
  <pageMargins left="0.5905511811023623" right="0.5905511811023623" top="0.5905511811023623" bottom="0.3937007874015748" header="0.31496062992125984" footer="0.31496062992125984"/>
  <pageSetup horizontalDpi="600" verticalDpi="600" orientation="portrait" paperSize="9" r:id="rId1"/>
  <headerFooter alignWithMargins="0">
    <oddHeader xml:space="preserve">&amp;L&amp;9FutureConstruct® Energia&amp;R&amp;9&amp;P(&amp;N)  </oddHeader>
  </headerFooter>
</worksheet>
</file>

<file path=xl/worksheets/sheet2.xml><?xml version="1.0" encoding="utf-8"?>
<worksheet xmlns="http://schemas.openxmlformats.org/spreadsheetml/2006/main" xmlns:r="http://schemas.openxmlformats.org/officeDocument/2006/relationships">
  <dimension ref="A1:CT403"/>
  <sheetViews>
    <sheetView workbookViewId="0" topLeftCell="A1">
      <selection activeCell="C1" sqref="C1"/>
    </sheetView>
  </sheetViews>
  <sheetFormatPr defaultColWidth="9.140625" defaultRowHeight="12.75"/>
  <cols>
    <col min="1" max="1" width="2.00390625" style="4" customWidth="1"/>
    <col min="2" max="2" width="55.7109375" style="5" customWidth="1"/>
    <col min="3" max="3" width="16.28125" style="522" customWidth="1"/>
    <col min="4" max="4" width="16.28125" style="523" customWidth="1"/>
    <col min="5" max="5" width="2.00390625" style="6" customWidth="1"/>
    <col min="6" max="6" width="24.28125" style="8" customWidth="1"/>
    <col min="7" max="7" width="9.28125" style="8" customWidth="1"/>
    <col min="8" max="8" width="9.28125" style="9" customWidth="1"/>
    <col min="9" max="9" width="9.28125" style="4" customWidth="1"/>
    <col min="10" max="12" width="9.28125" style="10" customWidth="1"/>
    <col min="13" max="13" width="8.8515625" style="4" customWidth="1"/>
    <col min="14" max="14" width="8.8515625" style="11" customWidth="1"/>
    <col min="15" max="20" width="8.8515625" style="4" customWidth="1"/>
    <col min="21" max="22" width="8.8515625" style="10" customWidth="1"/>
    <col min="23" max="23" width="8.8515625" style="12" customWidth="1"/>
    <col min="24" max="26" width="8.8515625" style="4" customWidth="1"/>
    <col min="27" max="27" width="9.00390625" style="4" bestFit="1" customWidth="1"/>
    <col min="28" max="33" width="8.8515625" style="4" customWidth="1"/>
    <col min="34" max="34" width="0" style="4" hidden="1" customWidth="1"/>
    <col min="35" max="36" width="2.00390625" style="4" customWidth="1"/>
    <col min="37" max="16384" width="8.8515625" style="4" customWidth="1"/>
  </cols>
  <sheetData>
    <row r="1" spans="2:23" s="10" customFormat="1" ht="11.25" customHeight="1">
      <c r="B1" s="443" t="s">
        <v>533</v>
      </c>
      <c r="C1" s="765" t="s">
        <v>742</v>
      </c>
      <c r="D1" s="766"/>
      <c r="E1" s="35"/>
      <c r="F1" s="31"/>
      <c r="G1" s="31"/>
      <c r="H1" s="9"/>
      <c r="N1" s="18"/>
      <c r="W1" s="208"/>
    </row>
    <row r="2" spans="2:23" s="10" customFormat="1" ht="11.25" customHeight="1">
      <c r="B2" s="34" t="s">
        <v>51</v>
      </c>
      <c r="C2" s="527"/>
      <c r="D2" s="528"/>
      <c r="E2" s="35"/>
      <c r="F2" s="31"/>
      <c r="G2" s="31"/>
      <c r="H2" s="9"/>
      <c r="N2" s="18"/>
      <c r="W2" s="208"/>
    </row>
    <row r="3" spans="1:4" ht="11.25" customHeight="1">
      <c r="A3" s="6"/>
      <c r="B3" s="34" t="s">
        <v>363</v>
      </c>
      <c r="C3" s="527" t="s">
        <v>50</v>
      </c>
      <c r="D3" s="762"/>
    </row>
    <row r="4" spans="2:4" ht="11.25" customHeight="1">
      <c r="B4" s="34" t="s">
        <v>358</v>
      </c>
      <c r="C4" s="527" t="s">
        <v>667</v>
      </c>
      <c r="D4" s="528"/>
    </row>
    <row r="5" spans="2:4" ht="11.25" customHeight="1">
      <c r="B5" s="34" t="s">
        <v>359</v>
      </c>
      <c r="C5" s="527" t="s">
        <v>300</v>
      </c>
      <c r="D5" s="528"/>
    </row>
    <row r="6" spans="2:6" ht="11.25" customHeight="1">
      <c r="B6" s="31" t="s">
        <v>360</v>
      </c>
      <c r="C6" s="531" t="s">
        <v>668</v>
      </c>
      <c r="D6" s="532"/>
      <c r="F6" s="7"/>
    </row>
    <row r="7" spans="2:19" ht="11.25" customHeight="1">
      <c r="B7" s="31" t="s">
        <v>359</v>
      </c>
      <c r="C7" s="531" t="s">
        <v>300</v>
      </c>
      <c r="D7" s="532"/>
      <c r="F7" s="4"/>
      <c r="Q7" s="13"/>
      <c r="R7" s="13"/>
      <c r="S7" s="13"/>
    </row>
    <row r="8" spans="2:19" ht="11.25" customHeight="1">
      <c r="B8" s="31"/>
      <c r="C8" s="783"/>
      <c r="D8" s="18"/>
      <c r="F8" s="4"/>
      <c r="Q8" s="13"/>
      <c r="R8" s="13"/>
      <c r="S8" s="13"/>
    </row>
    <row r="9" spans="2:13" ht="11.25" customHeight="1">
      <c r="B9" s="14"/>
      <c r="C9" s="5"/>
      <c r="D9" s="6"/>
      <c r="F9" s="15"/>
      <c r="G9" s="16"/>
      <c r="H9" s="17"/>
      <c r="I9" s="11"/>
      <c r="J9" s="18"/>
      <c r="K9" s="18"/>
      <c r="L9" s="18"/>
      <c r="M9" s="11"/>
    </row>
    <row r="10" spans="2:46" ht="12.75" customHeight="1">
      <c r="B10" s="19" t="s">
        <v>513</v>
      </c>
      <c r="C10" s="524"/>
      <c r="D10" s="525"/>
      <c r="E10" s="20"/>
      <c r="F10" s="21" t="s">
        <v>524</v>
      </c>
      <c r="G10" s="22"/>
      <c r="H10" s="23"/>
      <c r="I10" s="24"/>
      <c r="J10" s="25"/>
      <c r="K10" s="25"/>
      <c r="L10" s="25"/>
      <c r="M10" s="24"/>
      <c r="N10" s="24"/>
      <c r="O10" s="26" t="s">
        <v>588</v>
      </c>
      <c r="P10" s="27"/>
      <c r="Q10" s="27"/>
      <c r="R10" s="27"/>
      <c r="S10" s="27"/>
      <c r="T10" s="27"/>
      <c r="U10" s="28"/>
      <c r="V10" s="28"/>
      <c r="W10" s="29"/>
      <c r="X10" s="30"/>
      <c r="Y10" s="30"/>
      <c r="Z10" s="30"/>
      <c r="AA10" s="30"/>
      <c r="AB10" s="30"/>
      <c r="AC10" s="30"/>
      <c r="AD10" s="30"/>
      <c r="AE10" s="30"/>
      <c r="AF10" s="30"/>
      <c r="AG10" s="30"/>
      <c r="AH10" s="30"/>
      <c r="AI10" s="11"/>
      <c r="AJ10" s="11"/>
      <c r="AK10" s="26" t="s">
        <v>18</v>
      </c>
      <c r="AL10" s="30"/>
      <c r="AM10" s="30"/>
      <c r="AN10" s="30"/>
      <c r="AO10" s="30"/>
      <c r="AP10" s="30"/>
      <c r="AQ10" s="30"/>
      <c r="AR10" s="30"/>
      <c r="AS10" s="30"/>
      <c r="AT10" s="30"/>
    </row>
    <row r="11" spans="2:22" ht="11.25" customHeight="1">
      <c r="B11" s="31"/>
      <c r="C11" s="526"/>
      <c r="D11" s="526"/>
      <c r="E11" s="10"/>
      <c r="M11" s="32"/>
      <c r="N11" s="20"/>
      <c r="O11" s="10"/>
      <c r="P11" s="10"/>
      <c r="Q11" s="10"/>
      <c r="R11" s="10"/>
      <c r="S11" s="10"/>
      <c r="T11" s="10"/>
      <c r="U11" s="33"/>
      <c r="V11" s="33"/>
    </row>
    <row r="12" spans="2:41" s="10" customFormat="1" ht="11.25" customHeight="1">
      <c r="B12" s="95" t="s">
        <v>361</v>
      </c>
      <c r="C12" s="784"/>
      <c r="D12" s="785"/>
      <c r="E12" s="35"/>
      <c r="F12" s="36" t="s">
        <v>255</v>
      </c>
      <c r="G12" s="37" t="s">
        <v>126</v>
      </c>
      <c r="H12" s="38"/>
      <c r="I12" s="39" t="s">
        <v>152</v>
      </c>
      <c r="J12" s="40"/>
      <c r="K12" s="41" t="s">
        <v>512</v>
      </c>
      <c r="L12" s="42"/>
      <c r="M12" s="43" t="s">
        <v>129</v>
      </c>
      <c r="N12" s="44"/>
      <c r="O12" s="33"/>
      <c r="P12" s="33"/>
      <c r="Q12" s="45" t="s">
        <v>235</v>
      </c>
      <c r="R12" s="33"/>
      <c r="S12" s="46" t="s">
        <v>413</v>
      </c>
      <c r="U12" s="33"/>
      <c r="V12" s="33"/>
      <c r="X12" s="47"/>
      <c r="Y12" s="47"/>
      <c r="Z12" s="48"/>
      <c r="AA12" s="49" t="s">
        <v>262</v>
      </c>
      <c r="AB12" s="47"/>
      <c r="AC12" s="47"/>
      <c r="AD12" s="47"/>
      <c r="AE12" s="50"/>
      <c r="AF12" s="51" t="s">
        <v>407</v>
      </c>
      <c r="AG12" s="50"/>
      <c r="AH12" s="12"/>
      <c r="AI12" s="12"/>
      <c r="AJ12" s="12"/>
      <c r="AK12" s="12"/>
      <c r="AL12" s="52"/>
      <c r="AM12" s="53" t="s">
        <v>598</v>
      </c>
      <c r="AN12" s="12"/>
      <c r="AO12" s="52"/>
    </row>
    <row r="13" spans="2:41" ht="11.25" customHeight="1">
      <c r="B13" s="105"/>
      <c r="C13" s="5"/>
      <c r="D13" s="106"/>
      <c r="E13" s="35"/>
      <c r="F13" s="54" t="s">
        <v>254</v>
      </c>
      <c r="G13" s="55" t="s">
        <v>155</v>
      </c>
      <c r="H13" s="56"/>
      <c r="I13" s="57" t="s">
        <v>156</v>
      </c>
      <c r="J13" s="58"/>
      <c r="K13" s="57" t="s">
        <v>127</v>
      </c>
      <c r="L13" s="58"/>
      <c r="M13" s="59" t="s">
        <v>130</v>
      </c>
      <c r="N13" s="60"/>
      <c r="O13" s="33"/>
      <c r="P13" s="33" t="s">
        <v>208</v>
      </c>
      <c r="Q13" s="33"/>
      <c r="R13" s="33" t="s">
        <v>209</v>
      </c>
      <c r="S13" s="33"/>
      <c r="T13" s="33" t="s">
        <v>238</v>
      </c>
      <c r="U13" s="33" t="s">
        <v>258</v>
      </c>
      <c r="V13" s="33" t="s">
        <v>257</v>
      </c>
      <c r="W13" s="33" t="s">
        <v>239</v>
      </c>
      <c r="X13" s="47" t="s">
        <v>337</v>
      </c>
      <c r="Y13" s="47" t="s">
        <v>240</v>
      </c>
      <c r="Z13" s="47" t="s">
        <v>241</v>
      </c>
      <c r="AA13" s="47" t="s">
        <v>242</v>
      </c>
      <c r="AB13" s="47" t="s">
        <v>243</v>
      </c>
      <c r="AC13" s="47" t="s">
        <v>244</v>
      </c>
      <c r="AD13" s="47" t="s">
        <v>245</v>
      </c>
      <c r="AE13" s="50" t="s">
        <v>246</v>
      </c>
      <c r="AF13" s="149">
        <v>3.1</v>
      </c>
      <c r="AG13" s="50" t="s">
        <v>247</v>
      </c>
      <c r="AH13" s="61" t="s">
        <v>582</v>
      </c>
      <c r="AI13" s="61"/>
      <c r="AJ13" s="61"/>
      <c r="AK13" s="61" t="s">
        <v>582</v>
      </c>
      <c r="AL13" s="61"/>
      <c r="AM13" s="61"/>
      <c r="AN13" s="61" t="s">
        <v>601</v>
      </c>
      <c r="AO13" s="61">
        <v>3.11</v>
      </c>
    </row>
    <row r="14" spans="2:41" ht="11.25" customHeight="1">
      <c r="B14" s="107" t="s">
        <v>362</v>
      </c>
      <c r="C14" s="34"/>
      <c r="D14" s="108"/>
      <c r="E14" s="35"/>
      <c r="F14" s="62"/>
      <c r="G14" s="63" t="s">
        <v>124</v>
      </c>
      <c r="H14" s="64" t="s">
        <v>125</v>
      </c>
      <c r="I14" s="65" t="s">
        <v>124</v>
      </c>
      <c r="J14" s="66" t="s">
        <v>125</v>
      </c>
      <c r="K14" s="65" t="s">
        <v>124</v>
      </c>
      <c r="L14" s="67" t="s">
        <v>125</v>
      </c>
      <c r="M14" s="68" t="s">
        <v>324</v>
      </c>
      <c r="N14" s="69"/>
      <c r="O14" s="31"/>
      <c r="P14" s="33" t="s">
        <v>191</v>
      </c>
      <c r="Q14" s="31" t="s">
        <v>201</v>
      </c>
      <c r="R14" s="70" t="s">
        <v>194</v>
      </c>
      <c r="S14" s="33" t="s">
        <v>199</v>
      </c>
      <c r="T14" s="33" t="s">
        <v>197</v>
      </c>
      <c r="U14" s="33" t="s">
        <v>199</v>
      </c>
      <c r="V14" s="33" t="s">
        <v>197</v>
      </c>
      <c r="W14" s="33" t="s">
        <v>357</v>
      </c>
      <c r="X14" s="47" t="s">
        <v>170</v>
      </c>
      <c r="Y14" s="47" t="s">
        <v>199</v>
      </c>
      <c r="Z14" s="47" t="s">
        <v>197</v>
      </c>
      <c r="AA14" s="47" t="s">
        <v>267</v>
      </c>
      <c r="AB14" s="47" t="s">
        <v>202</v>
      </c>
      <c r="AC14" s="47" t="s">
        <v>270</v>
      </c>
      <c r="AD14" s="47" t="s">
        <v>213</v>
      </c>
      <c r="AE14" s="50" t="s">
        <v>226</v>
      </c>
      <c r="AF14" s="149" t="s">
        <v>332</v>
      </c>
      <c r="AG14" s="71" t="s">
        <v>266</v>
      </c>
      <c r="AH14" s="73" t="s">
        <v>602</v>
      </c>
      <c r="AI14" s="73"/>
      <c r="AJ14" s="73"/>
      <c r="AK14" s="73" t="s">
        <v>602</v>
      </c>
      <c r="AL14" s="73"/>
      <c r="AM14" s="73" t="s">
        <v>596</v>
      </c>
      <c r="AN14" s="73" t="s">
        <v>599</v>
      </c>
      <c r="AO14" s="73" t="s">
        <v>599</v>
      </c>
    </row>
    <row r="15" spans="1:41" ht="11.25" customHeight="1">
      <c r="A15" s="106"/>
      <c r="B15" s="13"/>
      <c r="C15" s="447"/>
      <c r="D15" s="109"/>
      <c r="E15" s="10"/>
      <c r="F15" s="74"/>
      <c r="G15" s="75" t="s">
        <v>128</v>
      </c>
      <c r="H15" s="76" t="s">
        <v>128</v>
      </c>
      <c r="I15" s="77" t="s">
        <v>128</v>
      </c>
      <c r="J15" s="78" t="s">
        <v>128</v>
      </c>
      <c r="K15" s="77" t="s">
        <v>128</v>
      </c>
      <c r="L15" s="79" t="s">
        <v>128</v>
      </c>
      <c r="M15" s="77" t="s">
        <v>323</v>
      </c>
      <c r="N15" s="69"/>
      <c r="O15" s="33"/>
      <c r="P15" s="33" t="s">
        <v>192</v>
      </c>
      <c r="Q15" s="70"/>
      <c r="R15" s="70"/>
      <c r="S15" s="33" t="s">
        <v>198</v>
      </c>
      <c r="T15" s="33" t="s">
        <v>198</v>
      </c>
      <c r="U15" s="33" t="s">
        <v>259</v>
      </c>
      <c r="V15" s="33" t="s">
        <v>259</v>
      </c>
      <c r="W15" s="33" t="s">
        <v>200</v>
      </c>
      <c r="Y15" s="47" t="s">
        <v>269</v>
      </c>
      <c r="Z15" s="47" t="s">
        <v>269</v>
      </c>
      <c r="AA15" s="47" t="s">
        <v>268</v>
      </c>
      <c r="AB15" s="47"/>
      <c r="AC15" s="47"/>
      <c r="AD15" s="47" t="s">
        <v>214</v>
      </c>
      <c r="AE15" s="50" t="s">
        <v>353</v>
      </c>
      <c r="AF15" s="149" t="s">
        <v>353</v>
      </c>
      <c r="AG15" s="71" t="s">
        <v>353</v>
      </c>
      <c r="AH15" s="73" t="s">
        <v>603</v>
      </c>
      <c r="AI15" s="73"/>
      <c r="AJ15" s="73"/>
      <c r="AK15" s="73" t="s">
        <v>603</v>
      </c>
      <c r="AL15" s="73"/>
      <c r="AM15" s="73" t="s">
        <v>597</v>
      </c>
      <c r="AN15" s="80" t="s">
        <v>600</v>
      </c>
      <c r="AO15" s="80" t="s">
        <v>200</v>
      </c>
    </row>
    <row r="16" spans="2:41" s="13" customFormat="1" ht="11.25" customHeight="1">
      <c r="B16" s="107" t="s">
        <v>533</v>
      </c>
      <c r="C16" s="767" t="str">
        <f>$C$1</f>
        <v>Villa Superi</v>
      </c>
      <c r="D16" s="763"/>
      <c r="E16" s="10"/>
      <c r="F16" s="81" t="s">
        <v>121</v>
      </c>
      <c r="G16" s="82"/>
      <c r="H16" s="83"/>
      <c r="I16" s="84"/>
      <c r="J16" s="84"/>
      <c r="K16" s="85"/>
      <c r="L16" s="86"/>
      <c r="M16" s="87"/>
      <c r="N16" s="88"/>
      <c r="O16" s="33"/>
      <c r="P16" s="70" t="s">
        <v>193</v>
      </c>
      <c r="Q16" s="70" t="s">
        <v>249</v>
      </c>
      <c r="R16" s="70" t="s">
        <v>195</v>
      </c>
      <c r="S16" s="33" t="s">
        <v>196</v>
      </c>
      <c r="T16" s="33" t="s">
        <v>196</v>
      </c>
      <c r="U16" s="33" t="s">
        <v>196</v>
      </c>
      <c r="V16" s="33" t="s">
        <v>196</v>
      </c>
      <c r="W16" s="33" t="s">
        <v>196</v>
      </c>
      <c r="X16" s="47" t="s">
        <v>196</v>
      </c>
      <c r="Y16" s="47" t="s">
        <v>196</v>
      </c>
      <c r="Z16" s="47" t="s">
        <v>196</v>
      </c>
      <c r="AA16" s="47" t="s">
        <v>196</v>
      </c>
      <c r="AB16" s="47" t="s">
        <v>196</v>
      </c>
      <c r="AC16" s="47" t="s">
        <v>196</v>
      </c>
      <c r="AD16" s="47" t="s">
        <v>196</v>
      </c>
      <c r="AE16" s="50" t="s">
        <v>196</v>
      </c>
      <c r="AF16" s="149" t="s">
        <v>196</v>
      </c>
      <c r="AG16" s="89" t="s">
        <v>196</v>
      </c>
      <c r="AH16" s="73" t="s">
        <v>589</v>
      </c>
      <c r="AI16" s="73"/>
      <c r="AJ16" s="73"/>
      <c r="AK16" s="73" t="s">
        <v>589</v>
      </c>
      <c r="AL16" s="73"/>
      <c r="AM16" s="73" t="s">
        <v>589</v>
      </c>
      <c r="AN16" s="73" t="s">
        <v>196</v>
      </c>
      <c r="AO16" s="73" t="s">
        <v>196</v>
      </c>
    </row>
    <row r="17" spans="2:41" s="13" customFormat="1" ht="11.25" customHeight="1">
      <c r="B17" s="112" t="s">
        <v>363</v>
      </c>
      <c r="C17" s="764" t="str">
        <f>$C$3</f>
        <v>2-kerroksinen erillinen pientalo</v>
      </c>
      <c r="D17" s="537"/>
      <c r="E17" s="10"/>
      <c r="F17" s="90" t="s">
        <v>229</v>
      </c>
      <c r="G17" s="682">
        <f>C41+C35-G22</f>
        <v>145</v>
      </c>
      <c r="H17" s="682">
        <f>C41</f>
        <v>140</v>
      </c>
      <c r="I17" s="683">
        <v>0.24</v>
      </c>
      <c r="J17" s="683">
        <f>D41</f>
        <v>0.21</v>
      </c>
      <c r="K17" s="91">
        <f aca="true" t="shared" si="0" ref="K17:L19">G17*I17</f>
        <v>34.8</v>
      </c>
      <c r="L17" s="92">
        <f t="shared" si="0"/>
        <v>29.4</v>
      </c>
      <c r="M17" s="87">
        <f>IF(K17=0,"",(L17-K17)/K17*100)</f>
        <v>-15.517241379310342</v>
      </c>
      <c r="N17" s="88"/>
      <c r="O17" s="10"/>
      <c r="P17" s="10"/>
      <c r="Q17" s="10"/>
      <c r="S17" s="10"/>
      <c r="T17" s="10"/>
      <c r="U17" s="10"/>
      <c r="V17" s="10"/>
      <c r="W17" s="10"/>
      <c r="X17" s="93"/>
      <c r="Y17" s="93"/>
      <c r="Z17" s="93"/>
      <c r="AA17" s="93"/>
      <c r="AB17" s="93"/>
      <c r="AC17" s="93"/>
      <c r="AD17" s="93"/>
      <c r="AE17" s="94"/>
      <c r="AF17" s="792"/>
      <c r="AG17" s="94"/>
      <c r="AH17" s="52"/>
      <c r="AI17" s="52"/>
      <c r="AJ17" s="52"/>
      <c r="AK17" s="52"/>
      <c r="AL17" s="52"/>
      <c r="AM17" s="52"/>
      <c r="AN17" s="52"/>
      <c r="AO17" s="52"/>
    </row>
    <row r="18" spans="2:41" s="13" customFormat="1" ht="11.25" customHeight="1">
      <c r="B18" s="112" t="s">
        <v>364</v>
      </c>
      <c r="C18" s="527" t="s">
        <v>670</v>
      </c>
      <c r="D18" s="534"/>
      <c r="E18" s="10"/>
      <c r="F18" s="90" t="s">
        <v>230</v>
      </c>
      <c r="G18" s="684">
        <f>C42</f>
        <v>13</v>
      </c>
      <c r="H18" s="682">
        <f>C42</f>
        <v>13</v>
      </c>
      <c r="I18" s="683">
        <v>0.24</v>
      </c>
      <c r="J18" s="683">
        <f>D42</f>
        <v>0.17</v>
      </c>
      <c r="K18" s="91">
        <f t="shared" si="0"/>
        <v>3.12</v>
      </c>
      <c r="L18" s="92">
        <f t="shared" si="0"/>
        <v>2.21</v>
      </c>
      <c r="M18" s="87">
        <f>IF(K18=0,"",(L18-K18)/K18*100)</f>
        <v>-29.166666666666668</v>
      </c>
      <c r="N18" s="88"/>
      <c r="O18" s="10" t="s">
        <v>179</v>
      </c>
      <c r="P18" s="96">
        <v>-10.6</v>
      </c>
      <c r="Q18" s="96">
        <f>D59-P18</f>
        <v>31.6</v>
      </c>
      <c r="R18" s="97">
        <v>744</v>
      </c>
      <c r="S18" s="98">
        <f>L47/1000*Q18*R18+S41</f>
        <v>2582.082752</v>
      </c>
      <c r="T18" s="98">
        <f>0.05/24*D61*58.33*R18</f>
        <v>361.64599999999996</v>
      </c>
      <c r="U18" s="810">
        <f>D104/8760*R18+D105*C28*0.15+D106*R18</f>
        <v>619.8630136986301</v>
      </c>
      <c r="V18" s="810">
        <f>R18*(D113+D112*C28/R31+D111/R31)</f>
        <v>254.79452054794518</v>
      </c>
      <c r="W18" s="98">
        <f>50*C28/8760*R18</f>
        <v>849.3150684931508</v>
      </c>
      <c r="X18" s="99">
        <f>C28*8*R18/8760</f>
        <v>135.8904109589041</v>
      </c>
      <c r="Y18" s="100">
        <f>0.7*U18</f>
        <v>433.904109589041</v>
      </c>
      <c r="Z18" s="100">
        <f>0.3*T18+0.5*V18</f>
        <v>235.89106027397258</v>
      </c>
      <c r="AA18" s="100">
        <f>32*C28/8760*R18</f>
        <v>543.5616438356165</v>
      </c>
      <c r="AB18" s="675">
        <f>D81*(0.74*C51*P82+0.56*C53*R82+0.65*(C52*Q82+C54*S82))</f>
        <v>64.6947</v>
      </c>
      <c r="AC18" s="100">
        <f aca="true" t="shared" si="1" ref="AC18:AC29">SUM(X18:AB18)</f>
        <v>1413.9419246575342</v>
      </c>
      <c r="AD18" s="100">
        <f aca="true" t="shared" si="2" ref="AD18:AD29">U103*AC18</f>
        <v>1413.94163125122</v>
      </c>
      <c r="AE18" s="101">
        <f aca="true" t="shared" si="3" ref="AE18:AE29">S18+U18-AD18</f>
        <v>1788.0041344474096</v>
      </c>
      <c r="AF18" s="792">
        <f>T18+V18</f>
        <v>616.4405205479452</v>
      </c>
      <c r="AG18" s="101">
        <f aca="true" t="shared" si="4" ref="AG18:AG29">AE18+T18+V18</f>
        <v>2404.4446549953545</v>
      </c>
      <c r="AK18" s="102">
        <f>D59+((1-U103)*AC18/(S18-P103)*Q18)^0.91</f>
        <v>21.0000117243037</v>
      </c>
      <c r="AL18" s="102"/>
      <c r="AM18" s="103">
        <f>IF(AK18&lt;=D60,AK18,D60)</f>
        <v>21.0000117243037</v>
      </c>
      <c r="AN18" s="104">
        <f>(1-U103)*AC18-(AM18-D59)^1.1*(S18-P103)/Q18</f>
        <v>3.6380160640945886E-06</v>
      </c>
      <c r="AO18" s="97">
        <f>AN18/0.7</f>
        <v>5.197165805849413E-06</v>
      </c>
    </row>
    <row r="19" spans="1:41" s="13" customFormat="1" ht="11.25" customHeight="1">
      <c r="A19" s="109"/>
      <c r="B19" s="13" t="s">
        <v>672</v>
      </c>
      <c r="C19" s="535" t="s">
        <v>671</v>
      </c>
      <c r="D19" s="536"/>
      <c r="E19" s="106"/>
      <c r="F19" s="90" t="s">
        <v>131</v>
      </c>
      <c r="G19" s="685">
        <f>C44</f>
        <v>80</v>
      </c>
      <c r="H19" s="682">
        <f>C44</f>
        <v>80</v>
      </c>
      <c r="I19" s="683">
        <v>0.15</v>
      </c>
      <c r="J19" s="683">
        <f>D44</f>
        <v>0.08</v>
      </c>
      <c r="K19" s="91">
        <f t="shared" si="0"/>
        <v>12</v>
      </c>
      <c r="L19" s="92">
        <f t="shared" si="0"/>
        <v>6.4</v>
      </c>
      <c r="M19" s="87">
        <f>IF(K19=0,"",(L19-K19)/K19*100)</f>
        <v>-46.666666666666664</v>
      </c>
      <c r="N19" s="88"/>
      <c r="O19" s="10" t="s">
        <v>180</v>
      </c>
      <c r="P19" s="96">
        <v>-12.2</v>
      </c>
      <c r="Q19" s="96">
        <f>D59-P19</f>
        <v>33.2</v>
      </c>
      <c r="R19" s="97">
        <v>672</v>
      </c>
      <c r="S19" s="98">
        <f>L47/1000*Q19*R19+S42</f>
        <v>2451.619072</v>
      </c>
      <c r="T19" s="98">
        <f>0.05/24*D61*58.33*R19</f>
        <v>326.64799999999997</v>
      </c>
      <c r="U19" s="810">
        <f>D104/8760*R19+D105*C28*0.15+D106*R19</f>
        <v>603.4246575342465</v>
      </c>
      <c r="V19" s="810">
        <f>R19*(D113+D112*C28/R31+D111/R31)</f>
        <v>230.13698630136986</v>
      </c>
      <c r="W19" s="98">
        <f>50*C28/8760*R19</f>
        <v>767.1232876712329</v>
      </c>
      <c r="X19" s="99">
        <f>C28*8*R19/8760</f>
        <v>122.73972602739725</v>
      </c>
      <c r="Y19" s="100">
        <f aca="true" t="shared" si="5" ref="Y19:Y29">0.7*U19</f>
        <v>422.39726027397256</v>
      </c>
      <c r="Z19" s="100">
        <f aca="true" t="shared" si="6" ref="Z19:Z29">0.3*T19+0.5*V19</f>
        <v>213.0628931506849</v>
      </c>
      <c r="AA19" s="100">
        <f>32*C28/8760*R19</f>
        <v>490.958904109589</v>
      </c>
      <c r="AB19" s="675">
        <f>D81*(0.72*C51*P83+0.57*C53*R83+0.62*(C52*Q83+C54*S83))</f>
        <v>325.82664</v>
      </c>
      <c r="AC19" s="100">
        <f t="shared" si="1"/>
        <v>1574.9854235616438</v>
      </c>
      <c r="AD19" s="100">
        <f t="shared" si="2"/>
        <v>1574.9666060739523</v>
      </c>
      <c r="AE19" s="101">
        <f t="shared" si="3"/>
        <v>1480.077123460294</v>
      </c>
      <c r="AF19" s="792">
        <f aca="true" t="shared" si="7" ref="AF19:AF29">T19+V19</f>
        <v>556.7849863013698</v>
      </c>
      <c r="AG19" s="101">
        <f t="shared" si="4"/>
        <v>2036.8621097616638</v>
      </c>
      <c r="AK19" s="102">
        <f>D59+((1-U104)*AC19/(S19-P104)*Q19)^0.91</f>
        <v>21.00056849997099</v>
      </c>
      <c r="AL19" s="102"/>
      <c r="AM19" s="103">
        <f>IF(AK19&lt;=D60,AK19,D60)</f>
        <v>21.00056849997099</v>
      </c>
      <c r="AN19" s="104">
        <f>(1-U104)*AC19-(AM19-D59)^1.1*(S19-P104)/Q19</f>
        <v>0.00015388802200197796</v>
      </c>
      <c r="AO19" s="97">
        <f aca="true" t="shared" si="8" ref="AO19:AO29">AN19/0.7</f>
        <v>0.0002198400314313971</v>
      </c>
    </row>
    <row r="20" spans="2:41" s="13" customFormat="1" ht="11.25" customHeight="1">
      <c r="B20" s="112" t="s">
        <v>365</v>
      </c>
      <c r="C20" s="527" t="s">
        <v>366</v>
      </c>
      <c r="D20" s="534"/>
      <c r="E20" s="106"/>
      <c r="F20" s="90" t="s">
        <v>532</v>
      </c>
      <c r="G20" s="83">
        <f>C46</f>
        <v>50</v>
      </c>
      <c r="H20" s="83">
        <f>C46</f>
        <v>50</v>
      </c>
      <c r="I20" s="683">
        <v>0.19</v>
      </c>
      <c r="J20" s="683">
        <f>D46</f>
        <v>0.14</v>
      </c>
      <c r="K20" s="91">
        <f>G20*I20*0.8</f>
        <v>7.6000000000000005</v>
      </c>
      <c r="L20" s="92">
        <f>H20*J20*0.8</f>
        <v>5.600000000000001</v>
      </c>
      <c r="M20" s="87">
        <f>IF(K20=0,"",(L20-K20)/K20*100)</f>
        <v>-26.315789473684198</v>
      </c>
      <c r="N20" s="88"/>
      <c r="O20" s="10" t="s">
        <v>181</v>
      </c>
      <c r="P20" s="96">
        <v>-2.58</v>
      </c>
      <c r="Q20" s="96">
        <f>D59-P20</f>
        <v>23.58</v>
      </c>
      <c r="R20" s="97">
        <v>744</v>
      </c>
      <c r="S20" s="98">
        <f>L47/1000*Q20*R20+S43</f>
        <v>1950.6849695999997</v>
      </c>
      <c r="T20" s="98">
        <f>0.05/24*D61*58.33*R20</f>
        <v>361.64599999999996</v>
      </c>
      <c r="U20" s="810">
        <f>D104/8760*R20+D105*C28*0.1+D106*R20</f>
        <v>469.86301369863014</v>
      </c>
      <c r="V20" s="810">
        <f>R20*(D113+D112*C28/R31+D111/R31)</f>
        <v>254.79452054794518</v>
      </c>
      <c r="W20" s="98">
        <f>50*C28/8760*R20</f>
        <v>849.3150684931508</v>
      </c>
      <c r="X20" s="99">
        <f>C28*8*R20/8760</f>
        <v>135.8904109589041</v>
      </c>
      <c r="Y20" s="100">
        <f t="shared" si="5"/>
        <v>328.90410958904107</v>
      </c>
      <c r="Z20" s="100">
        <f t="shared" si="6"/>
        <v>235.89106027397258</v>
      </c>
      <c r="AA20" s="100">
        <f>32*C28/8760*R20</f>
        <v>543.5616438356165</v>
      </c>
      <c r="AB20" s="675">
        <f>D81*(0.72*C51*P84+0.6*C53*R84+0.62*(C52*Q84+C54*S84))</f>
        <v>505.59336</v>
      </c>
      <c r="AC20" s="100">
        <f t="shared" si="1"/>
        <v>1749.8405846575342</v>
      </c>
      <c r="AD20" s="100">
        <f t="shared" si="2"/>
        <v>1727.0581828765999</v>
      </c>
      <c r="AE20" s="101">
        <f t="shared" si="3"/>
        <v>693.4898004220299</v>
      </c>
      <c r="AF20" s="792">
        <f t="shared" si="7"/>
        <v>616.4405205479452</v>
      </c>
      <c r="AG20" s="101">
        <f t="shared" si="4"/>
        <v>1309.9303209699751</v>
      </c>
      <c r="AK20" s="102">
        <f>D59+((1-U105)*AC20/(S20-P105)*Q20)^0.91</f>
        <v>21.320418693971497</v>
      </c>
      <c r="AL20" s="102"/>
      <c r="AM20" s="103">
        <f>IF(AK20&lt;=D60,AK20,D60)</f>
        <v>21.320418693971497</v>
      </c>
      <c r="AN20" s="104">
        <f>(1-U105)*AC20-(AM20-D59)^1.1*(S20-P105)/Q20</f>
        <v>0.02847588159179537</v>
      </c>
      <c r="AO20" s="97">
        <f t="shared" si="8"/>
        <v>0.04067983084542196</v>
      </c>
    </row>
    <row r="21" spans="1:41" s="13" customFormat="1" ht="11.25" customHeight="1">
      <c r="A21" s="109"/>
      <c r="B21" s="112" t="s">
        <v>367</v>
      </c>
      <c r="C21" s="527" t="s">
        <v>368</v>
      </c>
      <c r="D21" s="534"/>
      <c r="E21" s="108"/>
      <c r="F21" s="85" t="s">
        <v>531</v>
      </c>
      <c r="G21" s="686">
        <f>C48</f>
        <v>30</v>
      </c>
      <c r="H21" s="686">
        <f>C48</f>
        <v>30</v>
      </c>
      <c r="I21" s="687">
        <v>0.24</v>
      </c>
      <c r="J21" s="687">
        <f>D48</f>
        <v>0.2</v>
      </c>
      <c r="K21" s="91">
        <f>G21*I21</f>
        <v>7.199999999999999</v>
      </c>
      <c r="L21" s="92">
        <f>H21*J21</f>
        <v>6</v>
      </c>
      <c r="M21" s="87">
        <f>IF(K21=0,"",(L21-K21)/K21*100)</f>
        <v>-16.666666666666657</v>
      </c>
      <c r="N21" s="110"/>
      <c r="O21" s="10" t="s">
        <v>182</v>
      </c>
      <c r="P21" s="96">
        <v>0.2</v>
      </c>
      <c r="Q21" s="96">
        <f>D59-P21</f>
        <v>20.8</v>
      </c>
      <c r="R21" s="97">
        <v>720</v>
      </c>
      <c r="S21" s="98">
        <f>L47/1000*Q21*R21+S44</f>
        <v>1677.2812799999997</v>
      </c>
      <c r="T21" s="98">
        <f>0.05/24*D61*58.33*R21</f>
        <v>349.97999999999996</v>
      </c>
      <c r="U21" s="810">
        <f>D104/8760*R21+D105*C28*0.1+D106*R21</f>
        <v>464.3835616438356</v>
      </c>
      <c r="V21" s="810">
        <f>R21*(D113+D112*C28/R31+D111/R31)</f>
        <v>246.5753424657534</v>
      </c>
      <c r="W21" s="98">
        <f>50*C28/8760*R21</f>
        <v>821.9178082191781</v>
      </c>
      <c r="X21" s="99">
        <f>C28*8*R21/8760</f>
        <v>131.5068493150685</v>
      </c>
      <c r="Y21" s="100">
        <f t="shared" si="5"/>
        <v>325.0684931506849</v>
      </c>
      <c r="Z21" s="100">
        <f t="shared" si="6"/>
        <v>228.2816712328767</v>
      </c>
      <c r="AA21" s="100">
        <f>32*C28/8760*R21</f>
        <v>526.0273972602739</v>
      </c>
      <c r="AB21" s="675">
        <f>D81*(0.7*C51*P85+0.62*C53*R85+0.62*(C52*Q85+C54*S85))</f>
        <v>813.91473</v>
      </c>
      <c r="AC21" s="100">
        <f t="shared" si="1"/>
        <v>2024.799140958904</v>
      </c>
      <c r="AD21" s="100">
        <f t="shared" si="2"/>
        <v>1629.8624350591876</v>
      </c>
      <c r="AE21" s="101">
        <f t="shared" si="3"/>
        <v>511.80240658464754</v>
      </c>
      <c r="AF21" s="792">
        <f t="shared" si="7"/>
        <v>596.5553424657534</v>
      </c>
      <c r="AG21" s="101">
        <f t="shared" si="4"/>
        <v>1108.357749050401</v>
      </c>
      <c r="AK21" s="102">
        <f>D59+((1-U106)*AC21/(S21-P106)*Q21)^0.91</f>
        <v>25.354196222714858</v>
      </c>
      <c r="AL21" s="102"/>
      <c r="AM21" s="103">
        <f>IF(AK21&lt;=D60,AK21,D60)</f>
        <v>23</v>
      </c>
      <c r="AN21" s="104">
        <f>(1-U106)*AC21-(AM21-D59)^1.1*(S21-P106)/Q21</f>
        <v>226.83822257503166</v>
      </c>
      <c r="AO21" s="97">
        <f t="shared" si="8"/>
        <v>324.0546036786167</v>
      </c>
    </row>
    <row r="22" spans="2:41" s="13" customFormat="1" ht="11.25" customHeight="1">
      <c r="B22" s="115" t="s">
        <v>390</v>
      </c>
      <c r="C22" s="527" t="s">
        <v>391</v>
      </c>
      <c r="D22" s="534"/>
      <c r="E22" s="108"/>
      <c r="F22" s="90" t="s">
        <v>316</v>
      </c>
      <c r="G22" s="688">
        <f>0.15*C28</f>
        <v>30</v>
      </c>
      <c r="H22" s="689">
        <f>C35</f>
        <v>35</v>
      </c>
      <c r="I22" s="683">
        <v>1.4</v>
      </c>
      <c r="J22" s="683"/>
      <c r="K22" s="91">
        <f>G22*I22</f>
        <v>42</v>
      </c>
      <c r="L22" s="92"/>
      <c r="M22" s="87">
        <f>IF(K22=0,"",((L23+L24+L25+L26)-K22)/K22*100)</f>
        <v>-24.71428571428571</v>
      </c>
      <c r="N22" s="88"/>
      <c r="O22" s="10" t="s">
        <v>183</v>
      </c>
      <c r="P22" s="96">
        <v>10.3</v>
      </c>
      <c r="Q22" s="96">
        <f>D59-P22</f>
        <v>10.7</v>
      </c>
      <c r="R22" s="97">
        <v>744</v>
      </c>
      <c r="S22" s="98">
        <f>L47/1000*Q22*R22+S45</f>
        <v>926.7953439999998</v>
      </c>
      <c r="T22" s="98">
        <f>0.05/24*D61*58.33*R22</f>
        <v>361.64599999999996</v>
      </c>
      <c r="U22" s="810">
        <f>D104/8760*R22+D105*C28*0.05+D106*R22</f>
        <v>319.86301369863014</v>
      </c>
      <c r="V22" s="810">
        <f>R22*(D113+D112*C28/R31+D111/R31)</f>
        <v>254.79452054794518</v>
      </c>
      <c r="W22" s="98">
        <f>50*C28/8760*R22</f>
        <v>849.3150684931508</v>
      </c>
      <c r="X22" s="99">
        <f>C28*8*R22/8760</f>
        <v>135.8904109589041</v>
      </c>
      <c r="Y22" s="100">
        <f t="shared" si="5"/>
        <v>223.90410958904107</v>
      </c>
      <c r="Z22" s="100">
        <f t="shared" si="6"/>
        <v>235.89106027397258</v>
      </c>
      <c r="AA22" s="100">
        <f>32*C28/8760*R22</f>
        <v>543.5616438356165</v>
      </c>
      <c r="AB22" s="675">
        <f>D81*(0.21*C51*P86+0.2*C53*R86+0.19*(C52*Q86+C54*S86))</f>
        <v>280.4436</v>
      </c>
      <c r="AC22" s="100">
        <f t="shared" si="1"/>
        <v>1419.6908246575342</v>
      </c>
      <c r="AD22" s="100">
        <f t="shared" si="2"/>
        <v>926.7833213105971</v>
      </c>
      <c r="AE22" s="101">
        <f t="shared" si="3"/>
        <v>319.87503638803287</v>
      </c>
      <c r="AF22" s="792">
        <f t="shared" si="7"/>
        <v>616.4405205479452</v>
      </c>
      <c r="AG22" s="101">
        <f t="shared" si="4"/>
        <v>936.3155569359781</v>
      </c>
      <c r="AK22" s="102">
        <f>D59+((1-U107)*AC22/(S22-P107)*Q22)^0.91</f>
        <v>25.86631794963126</v>
      </c>
      <c r="AL22" s="102"/>
      <c r="AM22" s="103">
        <f>IF(AK22&lt;=D60,AK22,D60)</f>
        <v>23</v>
      </c>
      <c r="AN22" s="104">
        <f>(1-U107)*AC22-(AM22-D59)^1.1*(S22-P107)/Q22</f>
        <v>307.2412127111624</v>
      </c>
      <c r="AO22" s="97">
        <f t="shared" si="8"/>
        <v>438.91601815880347</v>
      </c>
    </row>
    <row r="23" spans="2:41" s="13" customFormat="1" ht="11.25" customHeight="1">
      <c r="B23" s="112" t="s">
        <v>370</v>
      </c>
      <c r="C23" s="527" t="s">
        <v>371</v>
      </c>
      <c r="D23" s="534"/>
      <c r="E23" s="108"/>
      <c r="F23" s="90" t="s">
        <v>287</v>
      </c>
      <c r="G23" s="83"/>
      <c r="H23" s="689">
        <f>C51</f>
        <v>5</v>
      </c>
      <c r="I23" s="683">
        <v>1.4</v>
      </c>
      <c r="J23" s="683">
        <f>D51</f>
        <v>1.3</v>
      </c>
      <c r="K23" s="91"/>
      <c r="L23" s="92">
        <f aca="true" t="shared" si="9" ref="L23:L28">H23*J23</f>
        <v>6.5</v>
      </c>
      <c r="M23" s="87"/>
      <c r="N23" s="88"/>
      <c r="O23" s="10" t="s">
        <v>184</v>
      </c>
      <c r="P23" s="96">
        <v>14.9</v>
      </c>
      <c r="Q23" s="96">
        <f>D59-P23</f>
        <v>6.1</v>
      </c>
      <c r="R23" s="97">
        <v>720</v>
      </c>
      <c r="S23" s="98">
        <f>L47/1000*Q23*R23+S46</f>
        <v>537.1569599999999</v>
      </c>
      <c r="T23" s="98">
        <f>0.05/24*D61*58.33*R23</f>
        <v>349.97999999999996</v>
      </c>
      <c r="U23" s="810">
        <f>D104/8760*R23</f>
        <v>164.3835616438356</v>
      </c>
      <c r="V23" s="810">
        <f>R23*(D113+D112*C28/R31+D111/R31)</f>
        <v>246.5753424657534</v>
      </c>
      <c r="W23" s="98">
        <f>50*C28/8760*R23</f>
        <v>821.9178082191781</v>
      </c>
      <c r="X23" s="99">
        <f>C28*8*R23/8760</f>
        <v>131.5068493150685</v>
      </c>
      <c r="Y23" s="100">
        <f t="shared" si="5"/>
        <v>115.06849315068492</v>
      </c>
      <c r="Z23" s="100">
        <f t="shared" si="6"/>
        <v>228.2816712328767</v>
      </c>
      <c r="AA23" s="100">
        <f>32*C28/8760*R23</f>
        <v>526.0273972602739</v>
      </c>
      <c r="AB23" s="675">
        <f>D81*(0.19*C51*P87+0.2*C53*R87+0.19*(C52*Q87+C54*S87))</f>
        <v>312.00417000000004</v>
      </c>
      <c r="AC23" s="100">
        <f t="shared" si="1"/>
        <v>1312.8885809589042</v>
      </c>
      <c r="AD23" s="100">
        <f t="shared" si="2"/>
        <v>537.1569595524239</v>
      </c>
      <c r="AE23" s="101">
        <f t="shared" si="3"/>
        <v>164.3835620914116</v>
      </c>
      <c r="AF23" s="792">
        <f t="shared" si="7"/>
        <v>596.5553424657534</v>
      </c>
      <c r="AG23" s="101">
        <f t="shared" si="4"/>
        <v>760.938904557165</v>
      </c>
      <c r="AK23" s="102">
        <f>D59+((1-U108)*AC23/(S23-P108)*Q23)^0.91</f>
        <v>28.242616867568657</v>
      </c>
      <c r="AL23" s="102"/>
      <c r="AM23" s="103">
        <f>IF(AK23&lt;=D60,AK23,D60)</f>
        <v>23</v>
      </c>
      <c r="AN23" s="104">
        <f>(1-U108)*AC23-(AM23-D59)^1.1*(S23-P108)/Q23</f>
        <v>586.9740558508511</v>
      </c>
      <c r="AO23" s="97">
        <f t="shared" si="8"/>
        <v>838.5343655012159</v>
      </c>
    </row>
    <row r="24" spans="2:41" s="13" customFormat="1" ht="11.25" customHeight="1">
      <c r="B24" s="112"/>
      <c r="C24" s="786"/>
      <c r="D24" s="692"/>
      <c r="E24" s="108"/>
      <c r="F24" s="90" t="s">
        <v>289</v>
      </c>
      <c r="G24" s="689"/>
      <c r="H24" s="689">
        <f>C52</f>
        <v>5.6</v>
      </c>
      <c r="I24" s="683">
        <v>1.4</v>
      </c>
      <c r="J24" s="683">
        <f>D52</f>
        <v>1</v>
      </c>
      <c r="K24" s="91"/>
      <c r="L24" s="92">
        <f t="shared" si="9"/>
        <v>5.6</v>
      </c>
      <c r="M24" s="87"/>
      <c r="N24" s="88"/>
      <c r="O24" s="10" t="s">
        <v>185</v>
      </c>
      <c r="P24" s="96">
        <v>15</v>
      </c>
      <c r="Q24" s="96">
        <f>D59-P24</f>
        <v>6</v>
      </c>
      <c r="R24" s="97">
        <v>744</v>
      </c>
      <c r="S24" s="98">
        <f>L47/1000*Q24*R24+S47</f>
        <v>538.1500799999999</v>
      </c>
      <c r="T24" s="98">
        <f>0.05/24*D61*58.33*R24</f>
        <v>361.64599999999996</v>
      </c>
      <c r="U24" s="810">
        <f>D104/8760*R24</f>
        <v>169.86301369863014</v>
      </c>
      <c r="V24" s="810">
        <f>R24*(D113+D112*C28/R31+D111/R31)</f>
        <v>254.79452054794518</v>
      </c>
      <c r="W24" s="98">
        <f>50*C28/8760*R24</f>
        <v>849.3150684931508</v>
      </c>
      <c r="X24" s="99">
        <f>C28*8*R24/8760</f>
        <v>135.8904109589041</v>
      </c>
      <c r="Y24" s="100">
        <f t="shared" si="5"/>
        <v>118.90410958904108</v>
      </c>
      <c r="Z24" s="100">
        <f t="shared" si="6"/>
        <v>235.89106027397258</v>
      </c>
      <c r="AA24" s="100">
        <f>32*C28/8760*R24</f>
        <v>543.5616438356165</v>
      </c>
      <c r="AB24" s="675">
        <f>D81*(0.2*C51*P88+0.2*C53*R88+0.19*(C52*Q88+C54*S88))</f>
        <v>253.98711</v>
      </c>
      <c r="AC24" s="100">
        <f t="shared" si="1"/>
        <v>1288.2343346575342</v>
      </c>
      <c r="AD24" s="100">
        <f t="shared" si="2"/>
        <v>538.1500794613091</v>
      </c>
      <c r="AE24" s="101">
        <f t="shared" si="3"/>
        <v>169.86301423732084</v>
      </c>
      <c r="AF24" s="792">
        <f t="shared" si="7"/>
        <v>616.4405205479452</v>
      </c>
      <c r="AG24" s="101">
        <f t="shared" si="4"/>
        <v>786.303534785266</v>
      </c>
      <c r="AK24" s="102">
        <f>D59+((1-U109)*AC24/(S24-P109)*Q24)^0.91</f>
        <v>27.907894249120496</v>
      </c>
      <c r="AL24" s="102"/>
      <c r="AM24" s="103">
        <f>IF(AK24&lt;=D60,AK24,D60)</f>
        <v>23</v>
      </c>
      <c r="AN24" s="104">
        <f>(1-U109)*AC24-(AM24-D59)^1.1*(S24-P109)/Q24</f>
        <v>557.8259303276307</v>
      </c>
      <c r="AO24" s="97">
        <f t="shared" si="8"/>
        <v>796.8941861823296</v>
      </c>
    </row>
    <row r="25" spans="1:41" s="13" customFormat="1" ht="11.25" customHeight="1">
      <c r="A25" s="109"/>
      <c r="B25" s="107" t="s">
        <v>372</v>
      </c>
      <c r="C25" s="786"/>
      <c r="D25" s="692"/>
      <c r="E25" s="108"/>
      <c r="F25" s="90" t="s">
        <v>288</v>
      </c>
      <c r="G25" s="83"/>
      <c r="H25" s="689">
        <f>C53</f>
        <v>16.5</v>
      </c>
      <c r="I25" s="683">
        <v>1.4</v>
      </c>
      <c r="J25" s="683">
        <f>D53</f>
        <v>0.8</v>
      </c>
      <c r="K25" s="91"/>
      <c r="L25" s="92">
        <f t="shared" si="9"/>
        <v>13.200000000000001</v>
      </c>
      <c r="M25" s="87"/>
      <c r="N25" s="88"/>
      <c r="O25" s="10" t="s">
        <v>186</v>
      </c>
      <c r="P25" s="96">
        <v>14.8</v>
      </c>
      <c r="Q25" s="96">
        <f>D59-P25</f>
        <v>6.199999999999999</v>
      </c>
      <c r="R25" s="97">
        <v>744</v>
      </c>
      <c r="S25" s="98">
        <f>L47/1000*Q25*R25+S48</f>
        <v>549.6543039999999</v>
      </c>
      <c r="T25" s="98">
        <f>0.05/24*D61*58.33*R25</f>
        <v>361.64599999999996</v>
      </c>
      <c r="U25" s="810">
        <f>D104/8760*R25</f>
        <v>169.86301369863014</v>
      </c>
      <c r="V25" s="810">
        <f>R25*(D113+D112*C28/R31+D111/R31)</f>
        <v>254.79452054794518</v>
      </c>
      <c r="W25" s="98">
        <f>50*C28/8760*R25</f>
        <v>849.3150684931508</v>
      </c>
      <c r="X25" s="99">
        <f>C28*8*R25/8760</f>
        <v>135.8904109589041</v>
      </c>
      <c r="Y25" s="100">
        <f t="shared" si="5"/>
        <v>118.90410958904108</v>
      </c>
      <c r="Z25" s="100">
        <f t="shared" si="6"/>
        <v>235.89106027397258</v>
      </c>
      <c r="AA25" s="100">
        <f>32*C28/8760*R25</f>
        <v>543.5616438356165</v>
      </c>
      <c r="AB25" s="675">
        <f>D81*(0.2*C51*P89+0.18*C53*R89+0.18*(C52*Q89+C54*S89))</f>
        <v>225.95570999999998</v>
      </c>
      <c r="AC25" s="100">
        <f t="shared" si="1"/>
        <v>1260.2029346575341</v>
      </c>
      <c r="AD25" s="100">
        <f t="shared" si="2"/>
        <v>549.6543028344153</v>
      </c>
      <c r="AE25" s="101">
        <f t="shared" si="3"/>
        <v>169.86301486421473</v>
      </c>
      <c r="AF25" s="792">
        <f t="shared" si="7"/>
        <v>616.4405205479452</v>
      </c>
      <c r="AG25" s="101">
        <f t="shared" si="4"/>
        <v>786.3035354121598</v>
      </c>
      <c r="AK25" s="102">
        <f>D59+((1-U110)*AC25/(S25-P110)*Q25)^0.91</f>
        <v>27.6457689186926</v>
      </c>
      <c r="AL25" s="102"/>
      <c r="AM25" s="103">
        <f>IF(AK25&lt;=D60,AK25,D60)</f>
        <v>23</v>
      </c>
      <c r="AN25" s="104">
        <f>(1-U110)*AC25-(AM25-D59)^1.1*(S25-P110)/Q25</f>
        <v>520.5147942114878</v>
      </c>
      <c r="AO25" s="97">
        <f t="shared" si="8"/>
        <v>743.5925631592684</v>
      </c>
    </row>
    <row r="26" spans="2:41" s="13" customFormat="1" ht="11.25" customHeight="1">
      <c r="B26" s="112"/>
      <c r="C26" s="786"/>
      <c r="D26" s="692"/>
      <c r="E26" s="108"/>
      <c r="F26" s="90" t="s">
        <v>290</v>
      </c>
      <c r="G26" s="689"/>
      <c r="H26" s="689">
        <f>C54</f>
        <v>7.9</v>
      </c>
      <c r="I26" s="683">
        <v>1.4</v>
      </c>
      <c r="J26" s="683">
        <f>D54</f>
        <v>0.8</v>
      </c>
      <c r="K26" s="113"/>
      <c r="L26" s="92">
        <f t="shared" si="9"/>
        <v>6.32</v>
      </c>
      <c r="M26" s="87"/>
      <c r="N26" s="88"/>
      <c r="O26" s="10" t="s">
        <v>187</v>
      </c>
      <c r="P26" s="96">
        <v>7.97</v>
      </c>
      <c r="Q26" s="96">
        <f>D59-P26</f>
        <v>13.030000000000001</v>
      </c>
      <c r="R26" s="97">
        <v>720</v>
      </c>
      <c r="S26" s="98">
        <f>L47/1000*Q26*R26+S49</f>
        <v>1055.327568</v>
      </c>
      <c r="T26" s="98">
        <f>0.05/24*D61*58.33*R26</f>
        <v>349.97999999999996</v>
      </c>
      <c r="U26" s="810">
        <f>D104/8760*R26+D105*C28*0.05+D106*R26</f>
        <v>314.3835616438356</v>
      </c>
      <c r="V26" s="810">
        <f>R26*(D113+D112*C28/R31+D111/R31)</f>
        <v>246.5753424657534</v>
      </c>
      <c r="W26" s="98">
        <f>50*C28/8760*R26</f>
        <v>821.9178082191781</v>
      </c>
      <c r="X26" s="99">
        <f>C28*8*R26/8760</f>
        <v>131.5068493150685</v>
      </c>
      <c r="Y26" s="100">
        <f t="shared" si="5"/>
        <v>220.0684931506849</v>
      </c>
      <c r="Z26" s="100">
        <f t="shared" si="6"/>
        <v>228.2816712328767</v>
      </c>
      <c r="AA26" s="100">
        <f>32*C28/8760*R26</f>
        <v>526.0273972602739</v>
      </c>
      <c r="AB26" s="675">
        <f>D81*(0.21*C51*P90+0.18*C53*R90+0.19*(C52*Q90+C54*S90))</f>
        <v>148.95396</v>
      </c>
      <c r="AC26" s="100">
        <f t="shared" si="1"/>
        <v>1254.838370958904</v>
      </c>
      <c r="AD26" s="100">
        <f t="shared" si="2"/>
        <v>1052.9727475399009</v>
      </c>
      <c r="AE26" s="101">
        <f t="shared" si="3"/>
        <v>316.7383821039348</v>
      </c>
      <c r="AF26" s="792">
        <f t="shared" si="7"/>
        <v>596.5553424657534</v>
      </c>
      <c r="AG26" s="101">
        <f t="shared" si="4"/>
        <v>913.2937245696883</v>
      </c>
      <c r="AK26" s="102">
        <f>D59+((1-U111)*AC26/(S26-P111)*Q26)^0.91</f>
        <v>23.295745516502837</v>
      </c>
      <c r="AL26" s="102"/>
      <c r="AM26" s="103">
        <f>IF(AK26&lt;=D60,AK26,D60)</f>
        <v>23</v>
      </c>
      <c r="AN26" s="104">
        <f>(1-U111)*AC26-(AM26-D59)^1.1*(S26-P111)/Q26</f>
        <v>28.25517343199394</v>
      </c>
      <c r="AO26" s="97">
        <f t="shared" si="8"/>
        <v>40.36453347427706</v>
      </c>
    </row>
    <row r="27" spans="2:41" s="13" customFormat="1" ht="11.25" customHeight="1">
      <c r="B27" s="140" t="s">
        <v>231</v>
      </c>
      <c r="C27" s="661">
        <v>690</v>
      </c>
      <c r="D27" s="692" t="s">
        <v>373</v>
      </c>
      <c r="E27" s="108"/>
      <c r="F27" s="90" t="s">
        <v>123</v>
      </c>
      <c r="G27" s="689">
        <f>C56</f>
        <v>7</v>
      </c>
      <c r="H27" s="689">
        <f>C56</f>
        <v>7</v>
      </c>
      <c r="I27" s="683">
        <v>1.4</v>
      </c>
      <c r="J27" s="683">
        <f>D56</f>
        <v>1</v>
      </c>
      <c r="K27" s="113">
        <f>G27*I27</f>
        <v>9.799999999999999</v>
      </c>
      <c r="L27" s="114">
        <f t="shared" si="9"/>
        <v>7</v>
      </c>
      <c r="M27" s="87">
        <f>IF(K27=0,"",(L27-K27)/K27*100)</f>
        <v>-28.571428571428566</v>
      </c>
      <c r="N27" s="88"/>
      <c r="O27" s="10" t="s">
        <v>188</v>
      </c>
      <c r="P27" s="96">
        <v>1.73</v>
      </c>
      <c r="Q27" s="96">
        <f>D59-P27</f>
        <v>19.27</v>
      </c>
      <c r="R27" s="97">
        <v>744</v>
      </c>
      <c r="S27" s="98">
        <f>L47/1000*Q27*R27+S50</f>
        <v>1584.2497423999996</v>
      </c>
      <c r="T27" s="98">
        <f>0.05/24*D61*58.33*R27</f>
        <v>361.64599999999996</v>
      </c>
      <c r="U27" s="810">
        <f>D104/8760*R27+D105*C28*0.1+D106*R27</f>
        <v>469.86301369863014</v>
      </c>
      <c r="V27" s="810">
        <f>R27*(D113+D112*C28/R31+D111/R31)</f>
        <v>254.79452054794518</v>
      </c>
      <c r="W27" s="98">
        <f>50*C28/8760*R27</f>
        <v>849.3150684931508</v>
      </c>
      <c r="X27" s="99">
        <f>C28*8*R27/8760</f>
        <v>135.8904109589041</v>
      </c>
      <c r="Y27" s="100">
        <f t="shared" si="5"/>
        <v>328.90410958904107</v>
      </c>
      <c r="Z27" s="100">
        <f t="shared" si="6"/>
        <v>235.89106027397258</v>
      </c>
      <c r="AA27" s="100">
        <f>32*C28/8760*R27</f>
        <v>543.5616438356165</v>
      </c>
      <c r="AB27" s="675">
        <f>D81*(0.72*C51*P91+0.57*C53*R91+0.64*(C52*Q91+C54*S91))</f>
        <v>275.40189</v>
      </c>
      <c r="AC27" s="100">
        <f t="shared" si="1"/>
        <v>1519.649114657534</v>
      </c>
      <c r="AD27" s="100">
        <f t="shared" si="2"/>
        <v>1476.3956966506312</v>
      </c>
      <c r="AE27" s="101">
        <f t="shared" si="3"/>
        <v>577.7170594479985</v>
      </c>
      <c r="AF27" s="792">
        <f t="shared" si="7"/>
        <v>616.4405205479452</v>
      </c>
      <c r="AG27" s="101">
        <f t="shared" si="4"/>
        <v>1194.1575799959437</v>
      </c>
      <c r="AK27" s="102">
        <f>D59+((1-U112)*AC27/(S27-P112)*Q27)^0.91</f>
        <v>21.568193743025606</v>
      </c>
      <c r="AL27" s="102"/>
      <c r="AM27" s="103">
        <f>IF(AK27&lt;=D60,AK27,D60)</f>
        <v>21.568193743025606</v>
      </c>
      <c r="AN27" s="104">
        <f>(1-U112)*AC27-(AM27-D59)^1.1*(S27-P112)/Q27</f>
        <v>0.02686071850003202</v>
      </c>
      <c r="AO27" s="97">
        <f t="shared" si="8"/>
        <v>0.03837245500004575</v>
      </c>
    </row>
    <row r="28" spans="2:41" s="13" customFormat="1" ht="11.25" customHeight="1">
      <c r="B28" s="151" t="s">
        <v>281</v>
      </c>
      <c r="C28" s="662">
        <v>200</v>
      </c>
      <c r="D28" s="693" t="s">
        <v>398</v>
      </c>
      <c r="E28" s="108"/>
      <c r="F28" s="116" t="s">
        <v>406</v>
      </c>
      <c r="G28" s="690"/>
      <c r="H28" s="690"/>
      <c r="I28" s="690">
        <v>1.5</v>
      </c>
      <c r="J28" s="690"/>
      <c r="K28" s="113">
        <f>G28*I28</f>
        <v>0</v>
      </c>
      <c r="L28" s="114">
        <f t="shared" si="9"/>
        <v>0</v>
      </c>
      <c r="M28" s="87">
        <f>IF(K28=0,"",(L28-K28)/K28*100)</f>
      </c>
      <c r="N28" s="110"/>
      <c r="O28" s="10" t="s">
        <v>189</v>
      </c>
      <c r="P28" s="96">
        <v>-0.59</v>
      </c>
      <c r="Q28" s="96">
        <f>D59-P28</f>
        <v>21.59</v>
      </c>
      <c r="R28" s="97">
        <v>720</v>
      </c>
      <c r="S28" s="98">
        <f>L47/1000*Q28*R28+S51</f>
        <v>1712.4011039999998</v>
      </c>
      <c r="T28" s="98">
        <f>0.05/24*D61*58.33*R28</f>
        <v>349.97999999999996</v>
      </c>
      <c r="U28" s="810">
        <f>D104/8760*R28+D105*C28*0.15+D106*R28</f>
        <v>614.3835616438356</v>
      </c>
      <c r="V28" s="810">
        <f>R28*(D113+D112*C28/R31+D111/R31)</f>
        <v>246.5753424657534</v>
      </c>
      <c r="W28" s="98">
        <f>50*C28/8760*R28</f>
        <v>821.9178082191781</v>
      </c>
      <c r="X28" s="99">
        <f>C28*8*R28/8760</f>
        <v>131.5068493150685</v>
      </c>
      <c r="Y28" s="100">
        <f t="shared" si="5"/>
        <v>430.0684931506849</v>
      </c>
      <c r="Z28" s="100">
        <f t="shared" si="6"/>
        <v>228.2816712328767</v>
      </c>
      <c r="AA28" s="100">
        <f>32*C28/8760*R28</f>
        <v>526.0273972602739</v>
      </c>
      <c r="AB28" s="675">
        <f>D81*(0.72*C51*P92+0.55*C53*R92+0.65*(C52*Q92+C54*S92))</f>
        <v>53.667675</v>
      </c>
      <c r="AC28" s="100">
        <f t="shared" si="1"/>
        <v>1369.552085958904</v>
      </c>
      <c r="AD28" s="100">
        <f t="shared" si="2"/>
        <v>1367.9031306872523</v>
      </c>
      <c r="AE28" s="101">
        <f t="shared" si="3"/>
        <v>958.8815349565832</v>
      </c>
      <c r="AF28" s="792">
        <f t="shared" si="7"/>
        <v>596.5553424657534</v>
      </c>
      <c r="AG28" s="101">
        <f t="shared" si="4"/>
        <v>1555.4368774223367</v>
      </c>
      <c r="AK28" s="102">
        <f>D59+((1-U113)*AC28/(S28-P113)*Q28)^0.91</f>
        <v>21.030323944085566</v>
      </c>
      <c r="AL28" s="102"/>
      <c r="AM28" s="103">
        <f>IF(AK28&lt;=D60,AK28,D60)</f>
        <v>21.030323944085566</v>
      </c>
      <c r="AN28" s="104">
        <f>(1-U113)*AC28-(AM28-D59)^1.1*(S28-P113)/Q28</f>
        <v>0.006322405352061633</v>
      </c>
      <c r="AO28" s="97">
        <f t="shared" si="8"/>
        <v>0.009032007645802333</v>
      </c>
    </row>
    <row r="29" spans="2:41" s="13" customFormat="1" ht="11.25" customHeight="1">
      <c r="B29" s="140" t="s">
        <v>392</v>
      </c>
      <c r="C29" s="663">
        <v>160</v>
      </c>
      <c r="D29" s="692" t="s">
        <v>157</v>
      </c>
      <c r="E29" s="108"/>
      <c r="F29" s="117" t="s">
        <v>161</v>
      </c>
      <c r="G29" s="118">
        <f>SUM(G17:G28)</f>
        <v>355</v>
      </c>
      <c r="H29" s="118">
        <f>SUM(H17:H22)+H27+H28</f>
        <v>355</v>
      </c>
      <c r="I29" s="119"/>
      <c r="J29" s="119"/>
      <c r="K29" s="120">
        <f>SUM(K17:K27)</f>
        <v>116.52</v>
      </c>
      <c r="L29" s="121">
        <f>SUM(L17:L27)</f>
        <v>88.22999999999999</v>
      </c>
      <c r="M29" s="845">
        <f>IF(K29=0,"",(L29-K29)/K29*100)</f>
        <v>-24.279093717816693</v>
      </c>
      <c r="N29" s="88"/>
      <c r="O29" s="10" t="s">
        <v>190</v>
      </c>
      <c r="P29" s="96">
        <v>-6.9</v>
      </c>
      <c r="Q29" s="96">
        <f>D59-P29</f>
        <v>27.9</v>
      </c>
      <c r="R29" s="97">
        <v>744</v>
      </c>
      <c r="S29" s="98">
        <f>L47/1000*Q29*R29+S52</f>
        <v>2277.7426079999996</v>
      </c>
      <c r="T29" s="98">
        <f>0.05/24*D61*58.33*R29</f>
        <v>361.64599999999996</v>
      </c>
      <c r="U29" s="810">
        <f>D104/8760*R29+D105*C28*0.15+D106*R29</f>
        <v>619.8630136986301</v>
      </c>
      <c r="V29" s="810">
        <f>R29*(D113+D112*C28/R31+D111/R31)</f>
        <v>254.79452054794518</v>
      </c>
      <c r="W29" s="98">
        <f>50*C28/8760*R29</f>
        <v>849.3150684931508</v>
      </c>
      <c r="X29" s="99">
        <f>C28*8*R29/8760</f>
        <v>135.8904109589041</v>
      </c>
      <c r="Y29" s="100">
        <f t="shared" si="5"/>
        <v>433.904109589041</v>
      </c>
      <c r="Z29" s="100">
        <f t="shared" si="6"/>
        <v>235.89106027397258</v>
      </c>
      <c r="AA29" s="100">
        <f>32*C28/8760*R29</f>
        <v>543.5616438356165</v>
      </c>
      <c r="AB29" s="675">
        <f>D81*(0.74*C51*P93+0.55*C53*R93+0.7*(C52*Q93+C54*S93))</f>
        <v>24.5115</v>
      </c>
      <c r="AC29" s="100">
        <f t="shared" si="1"/>
        <v>1373.7587246575342</v>
      </c>
      <c r="AD29" s="100">
        <f t="shared" si="2"/>
        <v>1373.7558368272314</v>
      </c>
      <c r="AE29" s="101">
        <f t="shared" si="3"/>
        <v>1523.8497848713985</v>
      </c>
      <c r="AF29" s="792">
        <f t="shared" si="7"/>
        <v>616.4405205479452</v>
      </c>
      <c r="AG29" s="101">
        <f t="shared" si="4"/>
        <v>2140.2903054193434</v>
      </c>
      <c r="AK29" s="102">
        <f>D59+((1-U114)*AC29/(S29-P114)*Q29)^0.91</f>
        <v>21.000093306924715</v>
      </c>
      <c r="AL29" s="102"/>
      <c r="AM29" s="103">
        <f>IF(AK29&lt;=D60,AK29,D60)</f>
        <v>21.000093306924715</v>
      </c>
      <c r="AN29" s="104">
        <f>(1-U114)*AC29-(AM29-D59)^1.1*(S29-P114)/Q29</f>
        <v>2.9298665673921885E-05</v>
      </c>
      <c r="AO29" s="97">
        <f t="shared" si="8"/>
        <v>4.185523667703127E-05</v>
      </c>
    </row>
    <row r="30" spans="2:41" s="13" customFormat="1" ht="11.25" customHeight="1">
      <c r="B30" s="112" t="s">
        <v>374</v>
      </c>
      <c r="C30" s="660">
        <v>3.1</v>
      </c>
      <c r="D30" s="692" t="s">
        <v>234</v>
      </c>
      <c r="E30" s="35"/>
      <c r="F30" s="122"/>
      <c r="G30" s="123"/>
      <c r="H30" s="123"/>
      <c r="I30" s="124"/>
      <c r="J30" s="124"/>
      <c r="K30" s="125"/>
      <c r="L30" s="125"/>
      <c r="M30" s="126"/>
      <c r="N30" s="88"/>
      <c r="O30" s="10"/>
      <c r="P30" s="98"/>
      <c r="Q30" s="96"/>
      <c r="R30" s="97"/>
      <c r="S30" s="98"/>
      <c r="T30" s="98"/>
      <c r="U30" s="10"/>
      <c r="V30" s="98"/>
      <c r="W30" s="98"/>
      <c r="X30" s="100"/>
      <c r="Y30" s="100"/>
      <c r="Z30" s="100"/>
      <c r="AA30" s="100"/>
      <c r="AB30" s="100"/>
      <c r="AC30" s="100"/>
      <c r="AD30" s="100"/>
      <c r="AE30" s="101"/>
      <c r="AF30" s="792"/>
      <c r="AG30" s="101"/>
      <c r="AN30" s="97"/>
      <c r="AO30" s="97"/>
    </row>
    <row r="31" spans="2:41" s="13" customFormat="1" ht="11.25" customHeight="1">
      <c r="B31" s="112" t="s">
        <v>233</v>
      </c>
      <c r="C31" s="659">
        <v>2.7</v>
      </c>
      <c r="D31" s="692" t="s">
        <v>234</v>
      </c>
      <c r="E31" s="108"/>
      <c r="F31" s="127" t="s">
        <v>253</v>
      </c>
      <c r="G31" s="128" t="s">
        <v>140</v>
      </c>
      <c r="H31" s="129"/>
      <c r="I31" s="130" t="s">
        <v>133</v>
      </c>
      <c r="J31" s="131"/>
      <c r="K31" s="132"/>
      <c r="L31" s="133"/>
      <c r="M31" s="134"/>
      <c r="N31" s="135"/>
      <c r="O31" s="10" t="s">
        <v>163</v>
      </c>
      <c r="P31" s="96">
        <v>2.76</v>
      </c>
      <c r="Q31" s="96">
        <f>D59-P31</f>
        <v>18.240000000000002</v>
      </c>
      <c r="R31" s="97">
        <f aca="true" t="shared" si="10" ref="R31:W31">SUM(R18:R29)</f>
        <v>8760</v>
      </c>
      <c r="S31" s="136">
        <f t="shared" si="10"/>
        <v>17843.145784</v>
      </c>
      <c r="T31" s="136">
        <f t="shared" si="10"/>
        <v>4258.09</v>
      </c>
      <c r="U31" s="136">
        <f t="shared" si="10"/>
        <v>5000.000000000001</v>
      </c>
      <c r="V31" s="136">
        <f t="shared" si="10"/>
        <v>2999.9999999999995</v>
      </c>
      <c r="W31" s="136">
        <f t="shared" si="10"/>
        <v>10000.000000000002</v>
      </c>
      <c r="X31" s="100">
        <f aca="true" t="shared" si="11" ref="X31:AF31">SUM(X18:X29)</f>
        <v>1600.0000000000002</v>
      </c>
      <c r="Y31" s="100">
        <f t="shared" si="11"/>
        <v>3499.9999999999995</v>
      </c>
      <c r="Z31" s="100">
        <f t="shared" si="11"/>
        <v>2777.4269999999997</v>
      </c>
      <c r="AA31" s="100">
        <f t="shared" si="11"/>
        <v>6399.999999999999</v>
      </c>
      <c r="AB31" s="100">
        <f t="shared" si="11"/>
        <v>3284.9550450000006</v>
      </c>
      <c r="AC31" s="100">
        <f t="shared" si="11"/>
        <v>17562.382045</v>
      </c>
      <c r="AD31" s="137">
        <f t="shared" si="11"/>
        <v>14168.60093012472</v>
      </c>
      <c r="AE31" s="138">
        <f t="shared" si="11"/>
        <v>8674.544853875275</v>
      </c>
      <c r="AF31" s="138">
        <f t="shared" si="11"/>
        <v>7258.09</v>
      </c>
      <c r="AG31" s="138">
        <f>SUM(AG18:AG29)</f>
        <v>15932.634853875277</v>
      </c>
      <c r="AK31" s="13" t="s">
        <v>163</v>
      </c>
      <c r="AN31" s="97">
        <f>SUM(AN18:AN29)</f>
        <v>2227.711234938305</v>
      </c>
      <c r="AO31" s="97">
        <f>SUM(AO18:AO29)</f>
        <v>3182.4446213404362</v>
      </c>
    </row>
    <row r="32" spans="2:33" s="13" customFormat="1" ht="11.25" customHeight="1">
      <c r="B32" s="140" t="s">
        <v>375</v>
      </c>
      <c r="C32" s="661">
        <v>430</v>
      </c>
      <c r="D32" s="692" t="s">
        <v>158</v>
      </c>
      <c r="E32" s="108"/>
      <c r="F32" s="127" t="s">
        <v>134</v>
      </c>
      <c r="G32" s="128" t="s">
        <v>138</v>
      </c>
      <c r="H32" s="129"/>
      <c r="I32" s="130" t="s">
        <v>143</v>
      </c>
      <c r="J32" s="131"/>
      <c r="K32" s="132" t="s">
        <v>141</v>
      </c>
      <c r="L32" s="133"/>
      <c r="M32" s="134"/>
      <c r="N32" s="135"/>
      <c r="O32" s="10"/>
      <c r="P32" s="10"/>
      <c r="Q32" s="96"/>
      <c r="R32" s="10"/>
      <c r="S32" s="98">
        <f>S31</f>
        <v>17843.145784</v>
      </c>
      <c r="T32" s="98">
        <f>S32+T31</f>
        <v>22101.235784</v>
      </c>
      <c r="U32" s="98">
        <f>T32+U31</f>
        <v>27101.235784</v>
      </c>
      <c r="V32" s="98">
        <f>U32+V31</f>
        <v>30101.235784</v>
      </c>
      <c r="W32" s="98">
        <f>V32+W31</f>
        <v>40101.235784000004</v>
      </c>
      <c r="X32" s="93"/>
      <c r="Y32" s="93"/>
      <c r="Z32" s="93"/>
      <c r="AA32" s="93"/>
      <c r="AB32" s="100"/>
      <c r="AC32" s="93"/>
      <c r="AD32" s="93"/>
      <c r="AE32" s="10"/>
      <c r="AF32" s="10"/>
      <c r="AG32" s="10"/>
    </row>
    <row r="33" spans="2:33" s="13" customFormat="1" ht="11.25" customHeight="1">
      <c r="B33" s="112" t="s">
        <v>376</v>
      </c>
      <c r="C33" s="663">
        <v>195</v>
      </c>
      <c r="D33" s="692" t="s">
        <v>157</v>
      </c>
      <c r="E33" s="141"/>
      <c r="F33" s="142">
        <f>C32</f>
        <v>430</v>
      </c>
      <c r="G33" s="143" t="s">
        <v>139</v>
      </c>
      <c r="H33" s="56"/>
      <c r="I33" s="57" t="s">
        <v>142</v>
      </c>
      <c r="J33" s="144"/>
      <c r="K33" s="145" t="s">
        <v>135</v>
      </c>
      <c r="L33" s="146"/>
      <c r="M33" s="147"/>
      <c r="N33" s="135"/>
      <c r="O33" s="93"/>
      <c r="P33" s="93"/>
      <c r="Q33" s="148"/>
      <c r="R33" s="93"/>
      <c r="S33" s="93"/>
      <c r="T33" s="93"/>
      <c r="U33" s="93"/>
      <c r="V33" s="93"/>
      <c r="X33" s="166"/>
      <c r="Y33" s="150"/>
      <c r="Z33" s="150"/>
      <c r="AA33" s="167"/>
      <c r="AB33" s="93"/>
      <c r="AC33" s="93"/>
      <c r="AD33" s="158"/>
      <c r="AE33" s="149" t="s">
        <v>226</v>
      </c>
      <c r="AF33" s="168" t="s">
        <v>332</v>
      </c>
      <c r="AG33" s="72" t="s">
        <v>223</v>
      </c>
    </row>
    <row r="34" spans="2:37" s="150" customFormat="1" ht="11.25" customHeight="1">
      <c r="B34" s="140" t="s">
        <v>393</v>
      </c>
      <c r="C34" s="258">
        <f>C33-C35-C36</f>
        <v>153</v>
      </c>
      <c r="D34" s="692" t="s">
        <v>157</v>
      </c>
      <c r="E34" s="108"/>
      <c r="F34" s="152"/>
      <c r="G34" s="155">
        <v>4</v>
      </c>
      <c r="H34" s="837">
        <f>D86</f>
        <v>1.5</v>
      </c>
      <c r="I34" s="154"/>
      <c r="J34" s="154"/>
      <c r="K34" s="155"/>
      <c r="L34" s="156"/>
      <c r="M34" s="134"/>
      <c r="N34" s="135"/>
      <c r="Q34" s="157"/>
      <c r="U34" s="10"/>
      <c r="V34" s="10"/>
      <c r="X34" s="10"/>
      <c r="Y34" s="10"/>
      <c r="Z34" s="10"/>
      <c r="AA34" s="167"/>
      <c r="AB34" s="93"/>
      <c r="AC34" s="175"/>
      <c r="AD34" s="158"/>
      <c r="AE34" s="149" t="s">
        <v>322</v>
      </c>
      <c r="AF34" s="149" t="s">
        <v>322</v>
      </c>
      <c r="AG34" s="72" t="s">
        <v>354</v>
      </c>
      <c r="AK34" s="52" t="s">
        <v>604</v>
      </c>
    </row>
    <row r="35" spans="2:37" s="150" customFormat="1" ht="11.25" customHeight="1">
      <c r="B35" s="140" t="s">
        <v>377</v>
      </c>
      <c r="C35" s="659">
        <v>35</v>
      </c>
      <c r="D35" s="692" t="s">
        <v>157</v>
      </c>
      <c r="E35" s="108"/>
      <c r="F35" s="159"/>
      <c r="G35" s="160">
        <f>G34/25</f>
        <v>0.16</v>
      </c>
      <c r="H35" s="691">
        <f>H34/25</f>
        <v>0.06</v>
      </c>
      <c r="I35" s="161">
        <f>G35*F33/3.6</f>
        <v>19.11111111111111</v>
      </c>
      <c r="J35" s="161">
        <f>H35*F33/3.6</f>
        <v>7.166666666666667</v>
      </c>
      <c r="K35" s="162">
        <f>1.2*I35</f>
        <v>22.933333333333334</v>
      </c>
      <c r="L35" s="163">
        <f>1.2*J35</f>
        <v>8.6</v>
      </c>
      <c r="M35" s="87">
        <f>IF(K35=0,"",(L35-K35)/K35*100)</f>
        <v>-62.5</v>
      </c>
      <c r="N35" s="135"/>
      <c r="O35" s="164"/>
      <c r="P35" s="664" t="s">
        <v>745</v>
      </c>
      <c r="Q35" s="165"/>
      <c r="R35" s="164"/>
      <c r="S35" s="164"/>
      <c r="T35" s="164"/>
      <c r="U35" s="31"/>
      <c r="V35" s="31"/>
      <c r="X35" s="31"/>
      <c r="Y35" s="10"/>
      <c r="Z35" s="10"/>
      <c r="AA35" s="167"/>
      <c r="AB35" s="93"/>
      <c r="AC35" s="13"/>
      <c r="AD35" s="4"/>
      <c r="AE35" s="182" t="s">
        <v>196</v>
      </c>
      <c r="AF35" s="182" t="s">
        <v>196</v>
      </c>
      <c r="AG35" s="89" t="s">
        <v>196</v>
      </c>
      <c r="AK35" s="12"/>
    </row>
    <row r="36" spans="2:37" s="150" customFormat="1" ht="11.25" customHeight="1">
      <c r="B36" s="140" t="s">
        <v>394</v>
      </c>
      <c r="C36" s="659">
        <v>7</v>
      </c>
      <c r="D36" s="692" t="s">
        <v>157</v>
      </c>
      <c r="E36" s="108"/>
      <c r="F36" s="169" t="s">
        <v>160</v>
      </c>
      <c r="G36" s="170"/>
      <c r="H36" s="170"/>
      <c r="I36" s="171"/>
      <c r="J36" s="171"/>
      <c r="K36" s="172">
        <f>SUM(K35)</f>
        <v>22.933333333333334</v>
      </c>
      <c r="L36" s="173">
        <f>SUM(L35)</f>
        <v>8.6</v>
      </c>
      <c r="M36" s="845">
        <f>IF(K36=0,"",(L36-K36)/K36*100)</f>
        <v>-62.5</v>
      </c>
      <c r="N36" s="135"/>
      <c r="O36" s="33"/>
      <c r="P36" s="33" t="s">
        <v>236</v>
      </c>
      <c r="Q36" s="174"/>
      <c r="R36" s="33" t="s">
        <v>209</v>
      </c>
      <c r="S36" s="33" t="s">
        <v>237</v>
      </c>
      <c r="T36" s="164"/>
      <c r="U36" s="31"/>
      <c r="V36" s="31"/>
      <c r="X36" s="10"/>
      <c r="Y36" s="10"/>
      <c r="Z36" s="130"/>
      <c r="AA36" s="4"/>
      <c r="AB36" s="93"/>
      <c r="AC36" s="166"/>
      <c r="AD36" s="130"/>
      <c r="AE36" s="101"/>
      <c r="AF36" s="101"/>
      <c r="AG36" s="94"/>
      <c r="AK36" s="12"/>
    </row>
    <row r="37" spans="2:46" s="150" customFormat="1" ht="11.25" customHeight="1">
      <c r="B37" s="115"/>
      <c r="C37" s="69"/>
      <c r="D37" s="654"/>
      <c r="E37" s="35"/>
      <c r="F37" s="176"/>
      <c r="G37" s="177"/>
      <c r="H37" s="177"/>
      <c r="I37" s="178"/>
      <c r="J37" s="178"/>
      <c r="K37" s="179"/>
      <c r="L37" s="180"/>
      <c r="M37" s="181"/>
      <c r="N37" s="135"/>
      <c r="O37" s="31"/>
      <c r="P37" s="33" t="s">
        <v>191</v>
      </c>
      <c r="Q37" s="96" t="s">
        <v>201</v>
      </c>
      <c r="R37" s="70" t="s">
        <v>194</v>
      </c>
      <c r="S37" s="33" t="s">
        <v>198</v>
      </c>
      <c r="T37" s="164"/>
      <c r="U37" s="31"/>
      <c r="V37" s="31"/>
      <c r="X37" s="10"/>
      <c r="Y37" s="10"/>
      <c r="Z37" s="10"/>
      <c r="AA37" s="97"/>
      <c r="AB37" s="93"/>
      <c r="AC37" s="13"/>
      <c r="AD37" s="10"/>
      <c r="AE37" s="101">
        <f>AE18/D109</f>
        <v>447.0010336118524</v>
      </c>
      <c r="AF37" s="101">
        <f>AF18/D109</f>
        <v>154.1101301369863</v>
      </c>
      <c r="AG37" s="101">
        <f>AG18/D109</f>
        <v>601.1111637488386</v>
      </c>
      <c r="AK37" s="52" t="s">
        <v>21</v>
      </c>
      <c r="AL37" s="52"/>
      <c r="AM37" s="52"/>
      <c r="AN37" s="52"/>
      <c r="AO37" s="52"/>
      <c r="AP37" s="52"/>
      <c r="AQ37" s="52"/>
      <c r="AR37" s="52"/>
      <c r="AS37" s="52"/>
      <c r="AT37" s="52"/>
    </row>
    <row r="38" spans="2:46" ht="11.25" customHeight="1">
      <c r="B38" s="107" t="s">
        <v>378</v>
      </c>
      <c r="C38" s="655" t="s">
        <v>397</v>
      </c>
      <c r="D38" s="656" t="s">
        <v>396</v>
      </c>
      <c r="E38" s="108"/>
      <c r="F38" s="127" t="s">
        <v>136</v>
      </c>
      <c r="G38" s="183" t="s">
        <v>137</v>
      </c>
      <c r="H38" s="129"/>
      <c r="I38" s="128" t="s">
        <v>149</v>
      </c>
      <c r="J38" s="131"/>
      <c r="K38" s="132"/>
      <c r="L38" s="133"/>
      <c r="M38" s="134"/>
      <c r="N38" s="135"/>
      <c r="O38" s="33"/>
      <c r="P38" s="33" t="s">
        <v>192</v>
      </c>
      <c r="Q38" s="184"/>
      <c r="R38" s="70"/>
      <c r="T38" s="8"/>
      <c r="U38" s="31"/>
      <c r="V38" s="31"/>
      <c r="X38" s="10"/>
      <c r="Y38" s="194"/>
      <c r="Z38" s="195"/>
      <c r="AA38" s="97"/>
      <c r="AB38" s="93"/>
      <c r="AC38" s="167"/>
      <c r="AD38" s="167"/>
      <c r="AE38" s="101">
        <f>AE19/D109</f>
        <v>370.0192808650735</v>
      </c>
      <c r="AF38" s="101">
        <f>AF19/D109</f>
        <v>139.19624657534246</v>
      </c>
      <c r="AG38" s="101">
        <f>AG19/D109</f>
        <v>509.21552744041594</v>
      </c>
      <c r="AK38" s="52" t="s">
        <v>98</v>
      </c>
      <c r="AL38" s="52"/>
      <c r="AM38" s="52"/>
      <c r="AN38" s="52"/>
      <c r="AO38" s="52"/>
      <c r="AP38" s="52"/>
      <c r="AQ38" s="52"/>
      <c r="AR38" s="52"/>
      <c r="AS38" s="52"/>
      <c r="AT38" s="52"/>
    </row>
    <row r="39" spans="2:46" s="130" customFormat="1" ht="11.25" customHeight="1">
      <c r="B39" s="112"/>
      <c r="C39" s="657"/>
      <c r="D39" s="658"/>
      <c r="E39" s="108"/>
      <c r="F39" s="127" t="s">
        <v>134</v>
      </c>
      <c r="G39" s="185" t="s">
        <v>144</v>
      </c>
      <c r="H39" s="186"/>
      <c r="I39" s="187" t="s">
        <v>145</v>
      </c>
      <c r="J39" s="188"/>
      <c r="K39" s="189" t="s">
        <v>146</v>
      </c>
      <c r="L39" s="190"/>
      <c r="M39" s="87"/>
      <c r="N39" s="88"/>
      <c r="O39" s="33"/>
      <c r="P39" s="70" t="s">
        <v>248</v>
      </c>
      <c r="Q39" s="184" t="s">
        <v>250</v>
      </c>
      <c r="R39" s="70" t="s">
        <v>195</v>
      </c>
      <c r="S39" s="33" t="s">
        <v>196</v>
      </c>
      <c r="T39" s="191"/>
      <c r="U39" s="191"/>
      <c r="V39" s="191"/>
      <c r="X39" s="199"/>
      <c r="Y39" s="167"/>
      <c r="Z39" s="200"/>
      <c r="AA39" s="97"/>
      <c r="AB39" s="93"/>
      <c r="AC39" s="167"/>
      <c r="AD39" s="167"/>
      <c r="AE39" s="101">
        <f>AE20/D109</f>
        <v>173.37245010550748</v>
      </c>
      <c r="AF39" s="101">
        <f>AF20/D109</f>
        <v>154.1101301369863</v>
      </c>
      <c r="AG39" s="101">
        <f>AG20/D109</f>
        <v>327.4825802424938</v>
      </c>
      <c r="AK39" s="52" t="s">
        <v>22</v>
      </c>
      <c r="AL39" s="52"/>
      <c r="AM39" s="52"/>
      <c r="AN39" s="52"/>
      <c r="AO39" s="52"/>
      <c r="AP39" s="52"/>
      <c r="AQ39" s="52"/>
      <c r="AR39" s="52"/>
      <c r="AS39" s="52"/>
      <c r="AT39" s="52"/>
    </row>
    <row r="40" spans="2:46" s="10" customFormat="1" ht="11.25" customHeight="1">
      <c r="B40" s="107" t="s">
        <v>379</v>
      </c>
      <c r="C40" s="657"/>
      <c r="D40" s="658"/>
      <c r="E40" s="108"/>
      <c r="F40" s="142">
        <f>C32</f>
        <v>430</v>
      </c>
      <c r="G40" s="192" t="s">
        <v>142</v>
      </c>
      <c r="H40" s="56"/>
      <c r="I40" s="193" t="s">
        <v>148</v>
      </c>
      <c r="J40" s="144"/>
      <c r="K40" s="145" t="s">
        <v>147</v>
      </c>
      <c r="L40" s="146"/>
      <c r="M40" s="147"/>
      <c r="N40" s="135"/>
      <c r="Q40" s="96"/>
      <c r="R40" s="13"/>
      <c r="X40" s="13"/>
      <c r="Y40" s="13"/>
      <c r="Z40" s="194"/>
      <c r="AA40" s="97"/>
      <c r="AB40" s="203"/>
      <c r="AC40" s="13"/>
      <c r="AD40" s="13"/>
      <c r="AE40" s="101">
        <f>AE21/D109</f>
        <v>127.95060164616189</v>
      </c>
      <c r="AF40" s="101">
        <f>AF21/D109</f>
        <v>149.13883561643834</v>
      </c>
      <c r="AG40" s="101">
        <f>AG21/D109</f>
        <v>277.08943726260026</v>
      </c>
      <c r="AK40" s="52" t="s">
        <v>23</v>
      </c>
      <c r="AL40" s="52"/>
      <c r="AM40" s="52"/>
      <c r="AN40" s="52"/>
      <c r="AO40" s="52"/>
      <c r="AP40" s="52"/>
      <c r="AQ40" s="52"/>
      <c r="AR40" s="52"/>
      <c r="AS40" s="52"/>
      <c r="AT40" s="52"/>
    </row>
    <row r="41" spans="2:46" s="167" customFormat="1" ht="11.25" customHeight="1">
      <c r="B41" s="759" t="s">
        <v>380</v>
      </c>
      <c r="C41" s="661">
        <v>140</v>
      </c>
      <c r="D41" s="538">
        <v>0.21</v>
      </c>
      <c r="E41" s="108"/>
      <c r="F41" s="196"/>
      <c r="G41" s="681">
        <f>F33/2/3.6</f>
        <v>59.72222222222222</v>
      </c>
      <c r="H41" s="681">
        <f>G41</f>
        <v>59.72222222222222</v>
      </c>
      <c r="I41" s="197">
        <v>0.3</v>
      </c>
      <c r="J41" s="681">
        <f>D90/100</f>
        <v>0.77</v>
      </c>
      <c r="K41" s="198">
        <f>1.2*G41*(1-I41)</f>
        <v>50.16666666666666</v>
      </c>
      <c r="L41" s="173">
        <f>1.2*H41*(1-J41)</f>
        <v>16.48333333333333</v>
      </c>
      <c r="M41" s="87">
        <f>IF(K41=0,"",(L41-K41)/K41*100)</f>
        <v>-67.14285714285714</v>
      </c>
      <c r="N41" s="135"/>
      <c r="O41" s="10" t="s">
        <v>179</v>
      </c>
      <c r="P41" s="678">
        <f>P31+D87</f>
        <v>7.76</v>
      </c>
      <c r="Q41" s="96">
        <f>D59-P41</f>
        <v>13.24</v>
      </c>
      <c r="R41" s="97">
        <v>744</v>
      </c>
      <c r="S41" s="98">
        <f>L46/1000*Q41*R41</f>
        <v>59.103359999999995</v>
      </c>
      <c r="U41" s="195"/>
      <c r="V41" s="195"/>
      <c r="X41" s="10"/>
      <c r="Y41" s="194"/>
      <c r="Z41" s="194"/>
      <c r="AA41" s="97"/>
      <c r="AB41" s="93"/>
      <c r="AC41" s="13"/>
      <c r="AD41" s="13"/>
      <c r="AE41" s="101">
        <f>AE22/D109</f>
        <v>79.96875909700822</v>
      </c>
      <c r="AF41" s="101">
        <f>AF22/D109</f>
        <v>154.1101301369863</v>
      </c>
      <c r="AG41" s="101">
        <f>AG22/D109</f>
        <v>234.07888923399452</v>
      </c>
      <c r="AK41" s="52" t="s">
        <v>24</v>
      </c>
      <c r="AL41" s="52"/>
      <c r="AM41" s="52"/>
      <c r="AN41" s="52"/>
      <c r="AO41" s="52"/>
      <c r="AP41" s="52"/>
      <c r="AQ41" s="52"/>
      <c r="AR41" s="52"/>
      <c r="AS41" s="52"/>
      <c r="AT41" s="52"/>
    </row>
    <row r="42" spans="2:46" s="167" customFormat="1" ht="11.25" customHeight="1">
      <c r="B42" s="759" t="s">
        <v>520</v>
      </c>
      <c r="C42" s="661">
        <v>13</v>
      </c>
      <c r="D42" s="538">
        <v>0.17</v>
      </c>
      <c r="E42" s="109"/>
      <c r="F42" s="169" t="s">
        <v>159</v>
      </c>
      <c r="G42" s="201"/>
      <c r="H42" s="202"/>
      <c r="I42" s="202"/>
      <c r="J42" s="202"/>
      <c r="K42" s="172">
        <f>SUM(K41)</f>
        <v>50.16666666666666</v>
      </c>
      <c r="L42" s="121">
        <f>SUM(L41)</f>
        <v>16.48333333333333</v>
      </c>
      <c r="M42" s="845">
        <f>IF(K42=0,"",(L42-K42)/K42*100)</f>
        <v>-67.14285714285714</v>
      </c>
      <c r="N42" s="135"/>
      <c r="O42" s="10" t="s">
        <v>180</v>
      </c>
      <c r="P42" s="678">
        <f>$P$41-1</f>
        <v>6.76</v>
      </c>
      <c r="Q42" s="96">
        <f>D59-P42</f>
        <v>14.24</v>
      </c>
      <c r="R42" s="97">
        <v>672</v>
      </c>
      <c r="S42" s="98">
        <f>L46/1000*Q42*R42</f>
        <v>57.41568</v>
      </c>
      <c r="U42" s="195"/>
      <c r="V42" s="195"/>
      <c r="X42" s="10"/>
      <c r="Y42" s="194"/>
      <c r="Z42" s="194"/>
      <c r="AA42" s="97"/>
      <c r="AB42" s="93"/>
      <c r="AC42" s="13"/>
      <c r="AD42" s="13"/>
      <c r="AE42" s="101">
        <f>AE23/D109</f>
        <v>41.0958905228529</v>
      </c>
      <c r="AF42" s="101">
        <f>AF23/D109</f>
        <v>149.13883561643834</v>
      </c>
      <c r="AG42" s="101">
        <f>AG23/D109</f>
        <v>190.23472613929124</v>
      </c>
      <c r="AK42" s="199" t="s">
        <v>25</v>
      </c>
      <c r="AL42" s="52"/>
      <c r="AM42" s="52"/>
      <c r="AN42" s="52"/>
      <c r="AO42" s="52"/>
      <c r="AP42" s="52"/>
      <c r="AQ42" s="52"/>
      <c r="AR42" s="52"/>
      <c r="AS42" s="52"/>
      <c r="AT42" s="52"/>
    </row>
    <row r="43" spans="2:46" s="13" customFormat="1" ht="11.25" customHeight="1">
      <c r="B43" s="107" t="s">
        <v>132</v>
      </c>
      <c r="C43" s="60"/>
      <c r="D43" s="658"/>
      <c r="E43" s="204"/>
      <c r="F43" s="176"/>
      <c r="G43" s="205"/>
      <c r="H43" s="206"/>
      <c r="I43" s="206"/>
      <c r="J43" s="206"/>
      <c r="K43" s="179"/>
      <c r="L43" s="207"/>
      <c r="M43" s="181"/>
      <c r="N43" s="135"/>
      <c r="O43" s="10" t="s">
        <v>181</v>
      </c>
      <c r="P43" s="678">
        <f>$P$41-2</f>
        <v>5.76</v>
      </c>
      <c r="Q43" s="96">
        <f>D59-P43</f>
        <v>15.24</v>
      </c>
      <c r="R43" s="97">
        <v>744</v>
      </c>
      <c r="S43" s="98">
        <f>L46/1000*Q43*R43</f>
        <v>68.03136</v>
      </c>
      <c r="U43" s="10"/>
      <c r="V43" s="10"/>
      <c r="X43" s="10"/>
      <c r="Y43" s="194"/>
      <c r="Z43" s="194"/>
      <c r="AA43" s="97"/>
      <c r="AB43" s="93"/>
      <c r="AE43" s="101">
        <f>AE24/D109</f>
        <v>42.46575355933021</v>
      </c>
      <c r="AF43" s="101">
        <f>AF24/D109</f>
        <v>154.1101301369863</v>
      </c>
      <c r="AG43" s="101">
        <f>AG24/D109</f>
        <v>196.5758836963165</v>
      </c>
      <c r="AK43" s="208" t="s">
        <v>26</v>
      </c>
      <c r="AL43" s="12"/>
      <c r="AM43" s="12"/>
      <c r="AN43" s="12"/>
      <c r="AO43" s="12"/>
      <c r="AP43" s="12"/>
      <c r="AQ43" s="12"/>
      <c r="AR43" s="12"/>
      <c r="AS43" s="12"/>
      <c r="AT43" s="12"/>
    </row>
    <row r="44" spans="2:46" s="13" customFormat="1" ht="11.25" customHeight="1">
      <c r="B44" s="759" t="s">
        <v>381</v>
      </c>
      <c r="C44" s="661">
        <v>80</v>
      </c>
      <c r="D44" s="538">
        <v>0.08</v>
      </c>
      <c r="E44" s="209"/>
      <c r="F44" s="210" t="s">
        <v>251</v>
      </c>
      <c r="G44" s="211"/>
      <c r="H44" s="211"/>
      <c r="I44" s="211"/>
      <c r="J44" s="211"/>
      <c r="K44" s="212">
        <f>K29+K36+K42</f>
        <v>189.61999999999998</v>
      </c>
      <c r="L44" s="213">
        <f>L29+L36+L42</f>
        <v>113.31333333333332</v>
      </c>
      <c r="M44" s="845">
        <f>IF(K44=0,"",(L44-K44)/K44*100)</f>
        <v>-40.241887283338606</v>
      </c>
      <c r="N44" s="214"/>
      <c r="O44" s="10" t="s">
        <v>182</v>
      </c>
      <c r="P44" s="678">
        <f>$P$41-3</f>
        <v>4.76</v>
      </c>
      <c r="Q44" s="96">
        <f>D59-P44</f>
        <v>16.240000000000002</v>
      </c>
      <c r="R44" s="97">
        <v>720</v>
      </c>
      <c r="S44" s="98">
        <f>L46/1000*Q44*R44</f>
        <v>70.1568</v>
      </c>
      <c r="U44" s="10"/>
      <c r="V44" s="10"/>
      <c r="X44" s="10"/>
      <c r="Y44" s="194"/>
      <c r="Z44" s="194"/>
      <c r="AA44" s="97"/>
      <c r="AB44" s="93"/>
      <c r="AE44" s="101">
        <f>AE25/D109</f>
        <v>42.46575371605368</v>
      </c>
      <c r="AF44" s="101">
        <f>AF25/D109</f>
        <v>154.1101301369863</v>
      </c>
      <c r="AG44" s="101">
        <f>AG25/D109</f>
        <v>196.57588385303995</v>
      </c>
      <c r="AK44" s="13" t="s">
        <v>729</v>
      </c>
      <c r="AL44" s="52"/>
      <c r="AM44" s="52"/>
      <c r="AN44" s="52"/>
      <c r="AO44" s="52"/>
      <c r="AP44" s="52"/>
      <c r="AQ44" s="52"/>
      <c r="AR44" s="52"/>
      <c r="AS44" s="52"/>
      <c r="AT44" s="52"/>
    </row>
    <row r="45" spans="2:46" s="13" customFormat="1" ht="11.25" customHeight="1">
      <c r="B45" s="107" t="s">
        <v>382</v>
      </c>
      <c r="C45" s="60"/>
      <c r="D45" s="658"/>
      <c r="E45" s="215"/>
      <c r="F45" s="216"/>
      <c r="G45" s="217"/>
      <c r="H45" s="217"/>
      <c r="I45" s="217"/>
      <c r="J45" s="217"/>
      <c r="K45" s="218"/>
      <c r="L45" s="219"/>
      <c r="M45" s="220"/>
      <c r="N45" s="135"/>
      <c r="O45" s="10" t="s">
        <v>183</v>
      </c>
      <c r="P45" s="678">
        <f>$P$41-3</f>
        <v>4.76</v>
      </c>
      <c r="Q45" s="96">
        <f>D59-P45</f>
        <v>16.240000000000002</v>
      </c>
      <c r="R45" s="97">
        <v>744</v>
      </c>
      <c r="S45" s="98">
        <f>L46/1000*Q45*R45</f>
        <v>72.49536</v>
      </c>
      <c r="U45" s="10"/>
      <c r="V45" s="10"/>
      <c r="X45" s="10"/>
      <c r="Y45" s="194"/>
      <c r="Z45" s="194"/>
      <c r="AA45" s="97"/>
      <c r="AB45" s="93"/>
      <c r="AE45" s="101">
        <f>AE26/D109</f>
        <v>79.1845955259837</v>
      </c>
      <c r="AF45" s="101">
        <f>AF26/D109</f>
        <v>149.13883561643834</v>
      </c>
      <c r="AG45" s="101">
        <f>AG26/D109</f>
        <v>228.32343114242207</v>
      </c>
      <c r="AK45" s="12"/>
      <c r="AL45" s="12"/>
      <c r="AM45" s="12"/>
      <c r="AN45" s="12"/>
      <c r="AO45" s="12"/>
      <c r="AP45" s="12"/>
      <c r="AQ45" s="12"/>
      <c r="AR45" s="12"/>
      <c r="AS45" s="12"/>
      <c r="AT45" s="12"/>
    </row>
    <row r="46" spans="2:46" s="13" customFormat="1" ht="11.25" customHeight="1">
      <c r="B46" s="759" t="s">
        <v>383</v>
      </c>
      <c r="C46" s="661">
        <v>50</v>
      </c>
      <c r="D46" s="538">
        <v>0.14</v>
      </c>
      <c r="E46" s="215"/>
      <c r="F46" s="34" t="s">
        <v>330</v>
      </c>
      <c r="G46" s="35"/>
      <c r="H46" s="35"/>
      <c r="I46" s="35"/>
      <c r="J46" s="35"/>
      <c r="K46" s="221"/>
      <c r="L46" s="222">
        <f>L21</f>
        <v>6</v>
      </c>
      <c r="M46" s="223"/>
      <c r="N46" s="135"/>
      <c r="O46" s="10" t="s">
        <v>184</v>
      </c>
      <c r="P46" s="678">
        <f>$P$41-2</f>
        <v>5.76</v>
      </c>
      <c r="Q46" s="96">
        <f>D59-P46</f>
        <v>15.24</v>
      </c>
      <c r="R46" s="97">
        <v>720</v>
      </c>
      <c r="S46" s="98">
        <f>L46/1000*Q46*R46</f>
        <v>65.83680000000001</v>
      </c>
      <c r="U46" s="10"/>
      <c r="V46" s="10"/>
      <c r="X46" s="10"/>
      <c r="Y46" s="194"/>
      <c r="Z46" s="10"/>
      <c r="AA46" s="97"/>
      <c r="AB46" s="93"/>
      <c r="AC46" s="93"/>
      <c r="AD46" s="93"/>
      <c r="AE46" s="101">
        <f>AE27/D109</f>
        <v>144.42926486199963</v>
      </c>
      <c r="AF46" s="101">
        <f>AF27/D109</f>
        <v>154.1101301369863</v>
      </c>
      <c r="AG46" s="101">
        <f>AG27/D109</f>
        <v>298.5393949989859</v>
      </c>
      <c r="AK46" s="13" t="s">
        <v>605</v>
      </c>
      <c r="AL46" s="52"/>
      <c r="AM46" s="52"/>
      <c r="AN46" s="52"/>
      <c r="AO46" s="52"/>
      <c r="AP46" s="52"/>
      <c r="AQ46" s="52"/>
      <c r="AR46" s="52"/>
      <c r="AS46" s="52"/>
      <c r="AT46" s="52"/>
    </row>
    <row r="47" spans="2:46" s="13" customFormat="1" ht="11.25" customHeight="1">
      <c r="B47" s="760" t="s">
        <v>384</v>
      </c>
      <c r="C47" s="60"/>
      <c r="D47" s="658"/>
      <c r="E47" s="215"/>
      <c r="F47" s="34" t="s">
        <v>252</v>
      </c>
      <c r="G47" s="35"/>
      <c r="H47" s="35"/>
      <c r="I47" s="35"/>
      <c r="J47" s="35"/>
      <c r="K47" s="221"/>
      <c r="L47" s="222">
        <f>L44-L46</f>
        <v>107.31333333333332</v>
      </c>
      <c r="M47" s="223"/>
      <c r="N47" s="135"/>
      <c r="O47" s="10" t="s">
        <v>185</v>
      </c>
      <c r="P47" s="678">
        <f>$P$41+0</f>
        <v>7.76</v>
      </c>
      <c r="Q47" s="96">
        <f>D59-P47</f>
        <v>13.24</v>
      </c>
      <c r="R47" s="97">
        <v>744</v>
      </c>
      <c r="S47" s="98">
        <f>L46/1000*Q47*R47</f>
        <v>59.103359999999995</v>
      </c>
      <c r="U47" s="10"/>
      <c r="V47" s="10"/>
      <c r="X47" s="10"/>
      <c r="Y47" s="10"/>
      <c r="Z47" s="10"/>
      <c r="AA47" s="97"/>
      <c r="AB47" s="93"/>
      <c r="AC47" s="93"/>
      <c r="AD47" s="93"/>
      <c r="AE47" s="101">
        <f>AE28/D109</f>
        <v>239.7203837391458</v>
      </c>
      <c r="AF47" s="101">
        <f>AF28/D109</f>
        <v>149.13883561643834</v>
      </c>
      <c r="AG47" s="101">
        <f>AG28/D109</f>
        <v>388.8592193555842</v>
      </c>
      <c r="AK47" s="13" t="s">
        <v>34</v>
      </c>
      <c r="AL47" s="52"/>
      <c r="AM47" s="52"/>
      <c r="AN47" s="52"/>
      <c r="AO47" s="52"/>
      <c r="AP47" s="52"/>
      <c r="AQ47" s="52"/>
      <c r="AR47" s="52"/>
      <c r="AS47" s="52"/>
      <c r="AT47" s="52"/>
    </row>
    <row r="48" spans="2:46" s="13" customFormat="1" ht="11.25" customHeight="1">
      <c r="B48" s="759" t="s">
        <v>522</v>
      </c>
      <c r="C48" s="661">
        <v>30</v>
      </c>
      <c r="D48" s="538">
        <v>0.2</v>
      </c>
      <c r="E48" s="215"/>
      <c r="F48" s="224"/>
      <c r="G48" s="35"/>
      <c r="H48" s="35"/>
      <c r="I48" s="35"/>
      <c r="J48" s="35"/>
      <c r="K48" s="221"/>
      <c r="L48" s="221"/>
      <c r="M48" s="225"/>
      <c r="N48" s="225"/>
      <c r="O48" s="10" t="s">
        <v>186</v>
      </c>
      <c r="P48" s="678">
        <f>$P$41+1</f>
        <v>8.76</v>
      </c>
      <c r="Q48" s="96">
        <f>D59-P48</f>
        <v>12.24</v>
      </c>
      <c r="R48" s="97">
        <v>744</v>
      </c>
      <c r="S48" s="98">
        <f>L46/1000*Q48*R48</f>
        <v>54.63936</v>
      </c>
      <c r="U48" s="10"/>
      <c r="V48" s="10"/>
      <c r="AA48" s="97"/>
      <c r="AE48" s="101">
        <f>AE29/D109</f>
        <v>380.9624462178496</v>
      </c>
      <c r="AF48" s="101">
        <f>AF29/D109</f>
        <v>154.1101301369863</v>
      </c>
      <c r="AG48" s="101">
        <f>AG29/D109</f>
        <v>535.0725763548359</v>
      </c>
      <c r="AK48" s="52"/>
      <c r="AL48" s="52"/>
      <c r="AM48" s="52"/>
      <c r="AN48" s="52"/>
      <c r="AO48" s="52"/>
      <c r="AP48" s="52"/>
      <c r="AQ48" s="52"/>
      <c r="AR48" s="52"/>
      <c r="AS48" s="52"/>
      <c r="AT48" s="52"/>
    </row>
    <row r="49" spans="2:46" s="13" customFormat="1" ht="11.25" customHeight="1">
      <c r="B49" s="759" t="s">
        <v>521</v>
      </c>
      <c r="C49" s="60"/>
      <c r="D49" s="658"/>
      <c r="E49" s="215"/>
      <c r="N49" s="226"/>
      <c r="O49" s="10" t="s">
        <v>187</v>
      </c>
      <c r="P49" s="678">
        <f>$P$41+2</f>
        <v>9.76</v>
      </c>
      <c r="Q49" s="96">
        <f>D59-P49</f>
        <v>11.24</v>
      </c>
      <c r="R49" s="97">
        <v>720</v>
      </c>
      <c r="S49" s="98">
        <f>L46/1000*Q49*R49</f>
        <v>48.5568</v>
      </c>
      <c r="U49" s="10"/>
      <c r="V49" s="10"/>
      <c r="AA49" s="97"/>
      <c r="AG49" s="101"/>
      <c r="AK49" s="52" t="s">
        <v>746</v>
      </c>
      <c r="AL49" s="52"/>
      <c r="AM49" s="52"/>
      <c r="AN49" s="52"/>
      <c r="AO49" s="52"/>
      <c r="AP49" s="52"/>
      <c r="AQ49" s="52"/>
      <c r="AR49" s="52"/>
      <c r="AS49" s="52"/>
      <c r="AT49" s="52"/>
    </row>
    <row r="50" spans="2:46" s="13" customFormat="1" ht="11.25" customHeight="1">
      <c r="B50" s="107" t="s">
        <v>122</v>
      </c>
      <c r="C50" s="60"/>
      <c r="D50" s="658"/>
      <c r="E50" s="215"/>
      <c r="N50" s="226"/>
      <c r="O50" s="10" t="s">
        <v>188</v>
      </c>
      <c r="P50" s="678">
        <f>$P$41+3</f>
        <v>10.76</v>
      </c>
      <c r="Q50" s="96">
        <f>D59-P50</f>
        <v>10.24</v>
      </c>
      <c r="R50" s="97">
        <v>744</v>
      </c>
      <c r="S50" s="98">
        <f>L46/1000*Q50*R50</f>
        <v>45.71136</v>
      </c>
      <c r="U50" s="10"/>
      <c r="V50" s="10"/>
      <c r="AA50" s="97"/>
      <c r="AE50" s="227">
        <f>SUM(AE37:AE49)</f>
        <v>2168.636213468819</v>
      </c>
      <c r="AF50" s="227">
        <f>SUM(AF37:AF49)</f>
        <v>1814.5225</v>
      </c>
      <c r="AG50" s="139">
        <f>SUM(AG37:AG48)</f>
        <v>3983.1587134688193</v>
      </c>
      <c r="AK50" s="52" t="s">
        <v>99</v>
      </c>
      <c r="AL50" s="52"/>
      <c r="AM50" s="52"/>
      <c r="AN50" s="52"/>
      <c r="AO50" s="52"/>
      <c r="AP50" s="52"/>
      <c r="AQ50" s="52"/>
      <c r="AR50" s="52"/>
      <c r="AS50" s="52"/>
      <c r="AT50" s="52"/>
    </row>
    <row r="51" spans="2:46" s="13" customFormat="1" ht="11.25" customHeight="1">
      <c r="B51" s="140" t="s">
        <v>402</v>
      </c>
      <c r="C51" s="659">
        <v>5</v>
      </c>
      <c r="D51" s="538">
        <v>1.3</v>
      </c>
      <c r="E51" s="215"/>
      <c r="N51" s="226"/>
      <c r="O51" s="10" t="s">
        <v>189</v>
      </c>
      <c r="P51" s="678">
        <f>$P$41+3</f>
        <v>10.76</v>
      </c>
      <c r="Q51" s="96">
        <f>D59-P51</f>
        <v>10.24</v>
      </c>
      <c r="R51" s="97">
        <v>720</v>
      </c>
      <c r="S51" s="98">
        <f>L46/1000*Q51*R51</f>
        <v>44.2368</v>
      </c>
      <c r="U51" s="10"/>
      <c r="V51" s="10"/>
      <c r="AK51" s="800" t="s">
        <v>675</v>
      </c>
      <c r="AL51" s="52"/>
      <c r="AM51" s="52"/>
      <c r="AN51" s="52"/>
      <c r="AO51" s="52"/>
      <c r="AP51" s="52"/>
      <c r="AQ51" s="52"/>
      <c r="AR51" s="52"/>
      <c r="AS51" s="52"/>
      <c r="AT51" s="52"/>
    </row>
    <row r="52" spans="2:46" s="13" customFormat="1" ht="11.25" customHeight="1">
      <c r="B52" s="140" t="s">
        <v>403</v>
      </c>
      <c r="C52" s="659">
        <v>5.6</v>
      </c>
      <c r="D52" s="538">
        <v>1</v>
      </c>
      <c r="E52" s="215"/>
      <c r="N52" s="226"/>
      <c r="O52" s="10" t="s">
        <v>190</v>
      </c>
      <c r="P52" s="678">
        <f>$P$41+2</f>
        <v>9.76</v>
      </c>
      <c r="Q52" s="96">
        <f>D59-P52</f>
        <v>11.24</v>
      </c>
      <c r="R52" s="97">
        <v>744</v>
      </c>
      <c r="S52" s="98">
        <f>L46/1000*Q52*R52</f>
        <v>50.17536</v>
      </c>
      <c r="U52" s="10"/>
      <c r="V52" s="10"/>
      <c r="X52" s="229"/>
      <c r="Y52" s="230" t="s">
        <v>87</v>
      </c>
      <c r="Z52" s="229"/>
      <c r="AA52" s="229"/>
      <c r="AB52" s="229"/>
      <c r="AC52" s="229"/>
      <c r="AD52" s="229"/>
      <c r="AE52" s="229"/>
      <c r="AF52" s="231"/>
      <c r="AG52" s="97"/>
      <c r="AK52" s="52"/>
      <c r="AL52" s="52"/>
      <c r="AM52" s="52"/>
      <c r="AN52" s="52"/>
      <c r="AO52" s="52"/>
      <c r="AP52" s="52"/>
      <c r="AQ52" s="52"/>
      <c r="AR52" s="52"/>
      <c r="AS52" s="52"/>
      <c r="AT52" s="52"/>
    </row>
    <row r="53" spans="2:46" s="13" customFormat="1" ht="11.25" customHeight="1">
      <c r="B53" s="235" t="s">
        <v>404</v>
      </c>
      <c r="C53" s="659">
        <v>16.5</v>
      </c>
      <c r="D53" s="538">
        <v>0.8</v>
      </c>
      <c r="E53" s="215"/>
      <c r="N53" s="226"/>
      <c r="O53" s="10"/>
      <c r="P53" s="96"/>
      <c r="Q53" s="96"/>
      <c r="R53" s="97"/>
      <c r="S53" s="98"/>
      <c r="U53" s="10"/>
      <c r="V53" s="10"/>
      <c r="X53" s="13" t="s">
        <v>298</v>
      </c>
      <c r="Y53" s="13" t="s">
        <v>293</v>
      </c>
      <c r="AA53" s="167" t="s">
        <v>291</v>
      </c>
      <c r="AD53" s="167" t="s">
        <v>294</v>
      </c>
      <c r="AE53" s="97"/>
      <c r="AF53" s="167" t="s">
        <v>640</v>
      </c>
      <c r="AG53" s="97"/>
      <c r="AK53" s="52"/>
      <c r="AL53" s="52"/>
      <c r="AM53" s="52"/>
      <c r="AN53" s="52"/>
      <c r="AO53" s="52"/>
      <c r="AP53" s="52"/>
      <c r="AQ53" s="52"/>
      <c r="AR53" s="52"/>
      <c r="AS53" s="52"/>
      <c r="AT53" s="52"/>
    </row>
    <row r="54" spans="2:46" s="13" customFormat="1" ht="11.25" customHeight="1">
      <c r="B54" s="140" t="s">
        <v>405</v>
      </c>
      <c r="C54" s="659">
        <v>7.9</v>
      </c>
      <c r="D54" s="538">
        <v>0.8</v>
      </c>
      <c r="E54" s="215"/>
      <c r="N54" s="226"/>
      <c r="O54" s="10" t="s">
        <v>163</v>
      </c>
      <c r="P54" s="96">
        <f>SUM(P41:P52)/12</f>
        <v>7.760000000000001</v>
      </c>
      <c r="Q54" s="96">
        <f>D59-P54</f>
        <v>13.239999999999998</v>
      </c>
      <c r="R54" s="97">
        <f>SUM(R41:R52)</f>
        <v>8760</v>
      </c>
      <c r="S54" s="136">
        <f>SUM(S41:S52)</f>
        <v>695.4624</v>
      </c>
      <c r="U54" s="10"/>
      <c r="V54" s="10"/>
      <c r="X54" s="229" t="s">
        <v>299</v>
      </c>
      <c r="Y54" s="229" t="s">
        <v>162</v>
      </c>
      <c r="Z54" s="313" t="s">
        <v>292</v>
      </c>
      <c r="AA54" s="229" t="s">
        <v>90</v>
      </c>
      <c r="AB54" s="229"/>
      <c r="AC54" s="313" t="s">
        <v>292</v>
      </c>
      <c r="AD54" s="229" t="s">
        <v>91</v>
      </c>
      <c r="AE54" s="233"/>
      <c r="AF54" s="313" t="s">
        <v>641</v>
      </c>
      <c r="AG54" s="97"/>
      <c r="AK54" s="52"/>
      <c r="AL54" s="52"/>
      <c r="AM54" s="52"/>
      <c r="AN54" s="52"/>
      <c r="AO54" s="52"/>
      <c r="AP54" s="52"/>
      <c r="AQ54" s="52"/>
      <c r="AR54" s="52"/>
      <c r="AS54" s="52"/>
      <c r="AT54" s="52"/>
    </row>
    <row r="55" spans="2:46" s="226" customFormat="1" ht="11.25" customHeight="1">
      <c r="B55" s="107" t="s">
        <v>123</v>
      </c>
      <c r="C55" s="60"/>
      <c r="D55" s="658"/>
      <c r="E55" s="215"/>
      <c r="U55" s="18"/>
      <c r="V55" s="18"/>
      <c r="X55" s="167"/>
      <c r="Y55" s="167"/>
      <c r="Z55" s="167"/>
      <c r="AA55" s="167" t="s">
        <v>88</v>
      </c>
      <c r="AB55" s="167" t="s">
        <v>89</v>
      </c>
      <c r="AC55" s="167"/>
      <c r="AD55" s="167" t="s">
        <v>88</v>
      </c>
      <c r="AE55" s="782" t="s">
        <v>89</v>
      </c>
      <c r="AF55" s="232"/>
      <c r="AG55" s="97"/>
      <c r="AK55" s="52"/>
      <c r="AL55" s="13" t="s">
        <v>704</v>
      </c>
      <c r="AM55" s="52"/>
      <c r="AN55" s="52"/>
      <c r="AO55" s="52"/>
      <c r="AP55" s="52"/>
      <c r="AQ55" s="52"/>
      <c r="AR55" s="52"/>
      <c r="AS55" s="52"/>
      <c r="AT55" s="52"/>
    </row>
    <row r="56" spans="2:46" s="10" customFormat="1" ht="11.25" customHeight="1">
      <c r="B56" s="761" t="s">
        <v>395</v>
      </c>
      <c r="C56" s="659">
        <v>7</v>
      </c>
      <c r="D56" s="538">
        <v>1</v>
      </c>
      <c r="E56" s="215"/>
      <c r="N56" s="18"/>
      <c r="S56" s="98"/>
      <c r="X56" s="167"/>
      <c r="Y56" s="167"/>
      <c r="Z56" s="167" t="s">
        <v>312</v>
      </c>
      <c r="AA56" s="167" t="s">
        <v>295</v>
      </c>
      <c r="AB56" s="167" t="s">
        <v>295</v>
      </c>
      <c r="AC56" s="167" t="s">
        <v>312</v>
      </c>
      <c r="AD56" s="167" t="s">
        <v>295</v>
      </c>
      <c r="AE56" s="167" t="s">
        <v>295</v>
      </c>
      <c r="AF56" s="167" t="s">
        <v>279</v>
      </c>
      <c r="AG56" s="13"/>
      <c r="AK56" s="52"/>
      <c r="AL56" s="13" t="s">
        <v>6</v>
      </c>
      <c r="AM56" s="52"/>
      <c r="AN56" s="52"/>
      <c r="AO56" s="52"/>
      <c r="AP56" s="52"/>
      <c r="AQ56" s="52"/>
      <c r="AR56" s="52"/>
      <c r="AS56" s="52"/>
      <c r="AT56" s="52"/>
    </row>
    <row r="57" spans="2:46" s="10" customFormat="1" ht="11.25" customHeight="1">
      <c r="B57" s="235"/>
      <c r="C57" s="60"/>
      <c r="D57" s="658"/>
      <c r="E57" s="215"/>
      <c r="N57" s="18"/>
      <c r="X57" s="236"/>
      <c r="Y57" s="233"/>
      <c r="Z57" s="773">
        <v>3.6</v>
      </c>
      <c r="AA57" s="774">
        <v>0.067</v>
      </c>
      <c r="AB57" s="774">
        <v>0.0504</v>
      </c>
      <c r="AC57" s="773">
        <v>24.84</v>
      </c>
      <c r="AD57" s="774">
        <v>0.0433</v>
      </c>
      <c r="AE57" s="774">
        <v>0.0234</v>
      </c>
      <c r="AF57" s="230"/>
      <c r="AG57" s="13"/>
      <c r="AK57" s="52"/>
      <c r="AL57" s="226" t="s">
        <v>27</v>
      </c>
      <c r="AM57" s="52"/>
      <c r="AN57" s="52"/>
      <c r="AO57" s="52"/>
      <c r="AP57" s="52"/>
      <c r="AQ57" s="52"/>
      <c r="AR57" s="52"/>
      <c r="AS57" s="52"/>
      <c r="AT57" s="52"/>
    </row>
    <row r="58" spans="2:46" s="10" customFormat="1" ht="11.25" customHeight="1">
      <c r="B58" s="107" t="s">
        <v>389</v>
      </c>
      <c r="C58" s="657"/>
      <c r="D58" s="658"/>
      <c r="E58" s="215"/>
      <c r="F58" s="34"/>
      <c r="G58" s="35"/>
      <c r="H58" s="35"/>
      <c r="I58" s="35"/>
      <c r="J58" s="35"/>
      <c r="K58" s="221"/>
      <c r="L58" s="135"/>
      <c r="M58" s="223"/>
      <c r="N58" s="135"/>
      <c r="X58" s="166" t="s">
        <v>303</v>
      </c>
      <c r="Y58" s="97">
        <f>AD103</f>
        <v>25932.634853875283</v>
      </c>
      <c r="Z58" s="226">
        <f>12*Z57</f>
        <v>43.2</v>
      </c>
      <c r="AA58" s="239"/>
      <c r="AB58" s="239"/>
      <c r="AC58" s="226">
        <f>12*AC57</f>
        <v>298.08</v>
      </c>
      <c r="AD58" s="239"/>
      <c r="AE58" s="239"/>
      <c r="AF58" s="771">
        <f>(Z58+AC58+Y58*0.63*(AA57+AD57)+Y58*0.37*(AB57+AE57))/Y58</f>
        <v>0.10995525162591607</v>
      </c>
      <c r="AG58" s="13"/>
      <c r="AK58" s="52"/>
      <c r="AL58" s="10" t="s">
        <v>28</v>
      </c>
      <c r="AM58" s="52"/>
      <c r="AN58" s="52"/>
      <c r="AO58" s="52"/>
      <c r="AP58" s="52"/>
      <c r="AQ58" s="52"/>
      <c r="AR58" s="52"/>
      <c r="AS58" s="52"/>
      <c r="AT58" s="52"/>
    </row>
    <row r="59" spans="2:46" s="10" customFormat="1" ht="11.25" customHeight="1">
      <c r="B59" s="140" t="s">
        <v>329</v>
      </c>
      <c r="C59" s="694" t="s">
        <v>325</v>
      </c>
      <c r="D59" s="539">
        <v>21</v>
      </c>
      <c r="E59" s="215"/>
      <c r="F59" s="34"/>
      <c r="G59" s="35"/>
      <c r="H59" s="35"/>
      <c r="I59" s="35"/>
      <c r="J59" s="35"/>
      <c r="K59" s="221"/>
      <c r="L59" s="135"/>
      <c r="M59" s="223"/>
      <c r="N59" s="135"/>
      <c r="X59" s="166" t="s">
        <v>304</v>
      </c>
      <c r="Y59" s="97">
        <f>AD93</f>
        <v>10000.000000000002</v>
      </c>
      <c r="Z59" s="226">
        <f>12*Z57</f>
        <v>43.2</v>
      </c>
      <c r="AA59" s="239"/>
      <c r="AB59" s="239"/>
      <c r="AC59" s="226">
        <f>12*AC57</f>
        <v>298.08</v>
      </c>
      <c r="AD59" s="239"/>
      <c r="AE59" s="239"/>
      <c r="AF59" s="771">
        <f>(Z59+AC59+Y59*0.63*(AA57+AD57)+Y59*0.37*(AB57+AE57))/Y59</f>
        <v>0.13092299999999998</v>
      </c>
      <c r="AG59" s="13"/>
      <c r="AK59" s="52"/>
      <c r="AL59" s="10" t="s">
        <v>29</v>
      </c>
      <c r="AM59" s="52"/>
      <c r="AN59" s="52"/>
      <c r="AO59" s="52"/>
      <c r="AP59" s="52"/>
      <c r="AQ59" s="52"/>
      <c r="AR59" s="52"/>
      <c r="AS59" s="52"/>
      <c r="AT59" s="52"/>
    </row>
    <row r="60" spans="1:46" s="10" customFormat="1" ht="11.25" customHeight="1">
      <c r="A60" s="108"/>
      <c r="B60" s="35" t="s">
        <v>669</v>
      </c>
      <c r="C60" s="694" t="s">
        <v>325</v>
      </c>
      <c r="D60" s="540">
        <v>23</v>
      </c>
      <c r="E60" s="215"/>
      <c r="F60" s="34"/>
      <c r="G60" s="35"/>
      <c r="H60" s="35"/>
      <c r="I60" s="35"/>
      <c r="J60" s="35"/>
      <c r="K60" s="221"/>
      <c r="L60" s="135"/>
      <c r="M60" s="223"/>
      <c r="N60" s="135"/>
      <c r="X60" s="230" t="s">
        <v>305</v>
      </c>
      <c r="Y60" s="233">
        <f>AD111</f>
        <v>13983.158713468822</v>
      </c>
      <c r="Z60" s="775">
        <f>12*Z57</f>
        <v>43.2</v>
      </c>
      <c r="AA60" s="237"/>
      <c r="AB60" s="237"/>
      <c r="AC60" s="775">
        <f>12*AC57</f>
        <v>298.08</v>
      </c>
      <c r="AD60" s="237"/>
      <c r="AE60" s="237"/>
      <c r="AF60" s="772">
        <f>(Z60+AC60+Y60*0.63*(AA57+AD57)+Y60*0.37*(AB57+AE57))/Y60</f>
        <v>0.12120150263600837</v>
      </c>
      <c r="AG60" s="13"/>
      <c r="AK60" s="52"/>
      <c r="AL60" s="234" t="s">
        <v>10</v>
      </c>
      <c r="AM60" s="52"/>
      <c r="AN60" s="52"/>
      <c r="AO60" s="52"/>
      <c r="AP60" s="52"/>
      <c r="AQ60" s="52"/>
      <c r="AR60" s="52"/>
      <c r="AS60" s="52"/>
      <c r="AT60" s="52"/>
    </row>
    <row r="61" spans="2:46" s="10" customFormat="1" ht="11.25" customHeight="1">
      <c r="B61" s="140" t="s">
        <v>516</v>
      </c>
      <c r="C61" s="60"/>
      <c r="D61" s="539">
        <v>4</v>
      </c>
      <c r="E61" s="215"/>
      <c r="N61" s="18"/>
      <c r="AG61" s="13"/>
      <c r="AK61" s="52"/>
      <c r="AL61" s="10" t="s">
        <v>11</v>
      </c>
      <c r="AM61" s="52"/>
      <c r="AN61" s="52"/>
      <c r="AO61" s="52"/>
      <c r="AP61" s="52"/>
      <c r="AQ61" s="52"/>
      <c r="AR61" s="52"/>
      <c r="AS61" s="52"/>
      <c r="AT61" s="52"/>
    </row>
    <row r="62" spans="2:46" s="35" customFormat="1" ht="11.25" customHeight="1">
      <c r="B62" s="140" t="s">
        <v>517</v>
      </c>
      <c r="C62" s="238"/>
      <c r="D62" s="541">
        <v>3</v>
      </c>
      <c r="E62" s="215"/>
      <c r="N62" s="238"/>
      <c r="X62" s="10"/>
      <c r="Y62" s="10"/>
      <c r="Z62" s="10"/>
      <c r="AA62" s="10"/>
      <c r="AB62" s="10"/>
      <c r="AC62" s="10"/>
      <c r="AD62" s="10"/>
      <c r="AE62" s="10"/>
      <c r="AF62" s="10"/>
      <c r="AG62" s="13"/>
      <c r="AK62" s="52"/>
      <c r="AL62" s="13" t="s">
        <v>33</v>
      </c>
      <c r="AM62" s="52"/>
      <c r="AN62" s="52"/>
      <c r="AO62" s="52"/>
      <c r="AP62" s="52"/>
      <c r="AQ62" s="52"/>
      <c r="AR62" s="52"/>
      <c r="AS62" s="52"/>
      <c r="AT62" s="52"/>
    </row>
    <row r="63" spans="1:32" s="10" customFormat="1" ht="11.25" customHeight="1">
      <c r="A63" s="108"/>
      <c r="B63" s="35" t="s">
        <v>652</v>
      </c>
      <c r="C63" s="35" t="s">
        <v>654</v>
      </c>
      <c r="D63" s="108"/>
      <c r="E63" s="215"/>
      <c r="N63" s="18"/>
      <c r="X63" s="35"/>
      <c r="Z63" s="35"/>
      <c r="AA63" s="35"/>
      <c r="AB63" s="35"/>
      <c r="AC63" s="35"/>
      <c r="AD63" s="35"/>
      <c r="AE63" s="35"/>
      <c r="AF63" s="242"/>
    </row>
    <row r="64" spans="1:33" ht="11.25" customHeight="1">
      <c r="A64" s="106"/>
      <c r="B64" s="35" t="s">
        <v>653</v>
      </c>
      <c r="C64" s="528" t="s">
        <v>65</v>
      </c>
      <c r="D64" s="534"/>
      <c r="E64" s="215"/>
      <c r="X64" s="236"/>
      <c r="Y64" s="231" t="s">
        <v>331</v>
      </c>
      <c r="Z64" s="236"/>
      <c r="AA64" s="236"/>
      <c r="AB64" s="236"/>
      <c r="AC64" s="236"/>
      <c r="AD64" s="236"/>
      <c r="AE64" s="236"/>
      <c r="AF64" s="229"/>
      <c r="AG64" s="35"/>
    </row>
    <row r="65" spans="2:32" s="10" customFormat="1" ht="11.25" customHeight="1">
      <c r="B65" s="235" t="s">
        <v>518</v>
      </c>
      <c r="C65" s="694" t="s">
        <v>325</v>
      </c>
      <c r="D65" s="658">
        <v>-32</v>
      </c>
      <c r="E65" s="240"/>
      <c r="N65" s="18"/>
      <c r="Y65" s="10" t="s">
        <v>293</v>
      </c>
      <c r="AF65" s="195" t="s">
        <v>640</v>
      </c>
    </row>
    <row r="66" spans="1:33" s="10" customFormat="1" ht="11.25" customHeight="1">
      <c r="A66" s="108"/>
      <c r="B66" s="57" t="s">
        <v>519</v>
      </c>
      <c r="C66" s="695" t="s">
        <v>325</v>
      </c>
      <c r="D66" s="542">
        <v>-26</v>
      </c>
      <c r="E66" s="240"/>
      <c r="N66" s="18"/>
      <c r="X66" s="32"/>
      <c r="Y66" s="236" t="s">
        <v>162</v>
      </c>
      <c r="Z66" s="32"/>
      <c r="AA66" s="32"/>
      <c r="AB66" s="32"/>
      <c r="AC66" s="32"/>
      <c r="AD66" s="32"/>
      <c r="AE66" s="32"/>
      <c r="AF66" s="841" t="s">
        <v>279</v>
      </c>
      <c r="AG66" s="4"/>
    </row>
    <row r="67" spans="1:32" s="10" customFormat="1" ht="11.25" customHeight="1">
      <c r="A67" s="35"/>
      <c r="D67" s="217"/>
      <c r="E67" s="241"/>
      <c r="N67" s="18"/>
      <c r="X67" s="769" t="s">
        <v>297</v>
      </c>
      <c r="Y67" s="770">
        <f>AD105</f>
        <v>15932.63485387528</v>
      </c>
      <c r="Z67" s="206"/>
      <c r="AA67" s="206"/>
      <c r="AB67" s="206"/>
      <c r="AC67" s="206"/>
      <c r="AD67" s="206"/>
      <c r="AE67" s="206"/>
      <c r="AF67" s="776">
        <v>0.0696</v>
      </c>
    </row>
    <row r="68" spans="1:56" s="10" customFormat="1" ht="11.25" customHeight="1">
      <c r="A68" s="35"/>
      <c r="D68" s="35"/>
      <c r="E68" s="35"/>
      <c r="N68" s="18"/>
      <c r="AH68" s="195"/>
      <c r="AI68" s="195"/>
      <c r="AJ68" s="195"/>
      <c r="AK68" s="195"/>
      <c r="AL68" s="195"/>
      <c r="AM68" s="195"/>
      <c r="AN68" s="195"/>
      <c r="AO68" s="195"/>
      <c r="AP68" s="195"/>
      <c r="AQ68" s="195"/>
      <c r="AR68" s="195"/>
      <c r="AS68" s="195"/>
      <c r="AT68" s="195"/>
      <c r="AU68" s="195"/>
      <c r="AV68" s="195"/>
      <c r="AW68" s="195"/>
      <c r="AX68" s="195"/>
      <c r="AY68" s="195"/>
      <c r="AZ68" s="195"/>
      <c r="BA68" s="195"/>
      <c r="BB68" s="195"/>
      <c r="BC68" s="195"/>
      <c r="BD68" s="195"/>
    </row>
    <row r="69" spans="1:56" s="10" customFormat="1" ht="11.25" customHeight="1">
      <c r="A69" s="35"/>
      <c r="D69" s="35"/>
      <c r="E69" s="35"/>
      <c r="N69" s="18"/>
      <c r="AH69" s="195"/>
      <c r="AI69" s="195"/>
      <c r="AJ69" s="195"/>
      <c r="AK69" s="195"/>
      <c r="AL69" s="195"/>
      <c r="AM69" s="195"/>
      <c r="AN69" s="195"/>
      <c r="AO69" s="195"/>
      <c r="AP69" s="195"/>
      <c r="AQ69" s="195"/>
      <c r="AR69" s="195"/>
      <c r="AS69" s="195"/>
      <c r="AT69" s="195"/>
      <c r="AU69" s="195"/>
      <c r="AV69" s="195"/>
      <c r="AW69" s="195"/>
      <c r="AX69" s="195"/>
      <c r="AY69" s="195"/>
      <c r="AZ69" s="195"/>
      <c r="BA69" s="195"/>
      <c r="BB69" s="195"/>
      <c r="BC69" s="195"/>
      <c r="BD69" s="195"/>
    </row>
    <row r="70" spans="1:56" s="10" customFormat="1" ht="11.25" customHeight="1">
      <c r="A70" s="35"/>
      <c r="D70" s="35"/>
      <c r="E70" s="215"/>
      <c r="N70" s="18"/>
      <c r="AH70" s="195"/>
      <c r="AI70" s="195"/>
      <c r="AJ70" s="195"/>
      <c r="AK70" s="195"/>
      <c r="AL70" s="195"/>
      <c r="AM70" s="195"/>
      <c r="AN70" s="195"/>
      <c r="AO70" s="195"/>
      <c r="AP70" s="195"/>
      <c r="AQ70" s="195"/>
      <c r="AR70" s="195"/>
      <c r="AS70" s="195"/>
      <c r="AT70" s="195"/>
      <c r="AU70" s="195"/>
      <c r="AV70" s="195"/>
      <c r="AW70" s="195"/>
      <c r="AX70" s="195"/>
      <c r="AY70" s="195"/>
      <c r="AZ70" s="195"/>
      <c r="BA70" s="195"/>
      <c r="BB70" s="195"/>
      <c r="BC70" s="195"/>
      <c r="BD70" s="195"/>
    </row>
    <row r="71" spans="1:50" s="10" customFormat="1" ht="11.25" customHeight="1">
      <c r="A71" s="35"/>
      <c r="D71" s="35"/>
      <c r="E71" s="35"/>
      <c r="N71" s="18"/>
      <c r="AH71" s="195"/>
      <c r="AI71" s="195"/>
      <c r="AJ71" s="195"/>
      <c r="AK71" s="195"/>
      <c r="AL71" s="195"/>
      <c r="AM71" s="195"/>
      <c r="AN71" s="195"/>
      <c r="AO71" s="195"/>
      <c r="AP71" s="195"/>
      <c r="AQ71" s="195"/>
      <c r="AR71" s="195"/>
      <c r="AS71" s="195"/>
      <c r="AT71" s="195"/>
      <c r="AU71" s="195"/>
      <c r="AV71" s="195"/>
      <c r="AW71" s="195"/>
      <c r="AX71" s="195"/>
    </row>
    <row r="72" spans="4:50" s="10" customFormat="1" ht="11.25" customHeight="1">
      <c r="D72" s="35"/>
      <c r="E72" s="35"/>
      <c r="N72" s="18"/>
      <c r="AH72" s="195"/>
      <c r="AI72" s="195"/>
      <c r="AJ72" s="195"/>
      <c r="AK72" s="195"/>
      <c r="AL72" s="195"/>
      <c r="AM72" s="195"/>
      <c r="AN72" s="195"/>
      <c r="AO72" s="195"/>
      <c r="AP72" s="195"/>
      <c r="AQ72" s="195"/>
      <c r="AR72" s="195"/>
      <c r="AS72" s="195"/>
      <c r="AT72" s="195"/>
      <c r="AU72" s="195"/>
      <c r="AV72" s="195"/>
      <c r="AW72" s="195"/>
      <c r="AX72" s="195"/>
    </row>
    <row r="73" spans="2:50" s="10" customFormat="1" ht="11.25" customHeight="1">
      <c r="B73" s="236"/>
      <c r="C73" s="789"/>
      <c r="D73" s="790"/>
      <c r="E73" s="35"/>
      <c r="F73" s="243"/>
      <c r="G73" s="236"/>
      <c r="H73" s="236"/>
      <c r="I73" s="236"/>
      <c r="J73" s="236"/>
      <c r="K73" s="244"/>
      <c r="L73" s="245"/>
      <c r="M73" s="246"/>
      <c r="N73" s="135"/>
      <c r="X73" s="13"/>
      <c r="Y73" s="13"/>
      <c r="Z73" s="13"/>
      <c r="AA73" s="13"/>
      <c r="AB73" s="166"/>
      <c r="AC73" s="13"/>
      <c r="AD73" s="13"/>
      <c r="AE73" s="13"/>
      <c r="AF73" s="13"/>
      <c r="AG73" s="13"/>
      <c r="AH73" s="195"/>
      <c r="AI73" s="195"/>
      <c r="AJ73" s="195"/>
      <c r="AK73" s="195"/>
      <c r="AL73" s="195"/>
      <c r="AM73" s="195"/>
      <c r="AN73" s="195"/>
      <c r="AO73" s="195"/>
      <c r="AP73" s="195"/>
      <c r="AQ73" s="195"/>
      <c r="AR73" s="195"/>
      <c r="AS73" s="195"/>
      <c r="AT73" s="195"/>
      <c r="AU73" s="195"/>
      <c r="AV73" s="195"/>
      <c r="AW73" s="195"/>
      <c r="AX73" s="195"/>
    </row>
    <row r="74" spans="2:50" s="247" customFormat="1" ht="12.75" customHeight="1">
      <c r="B74" s="95" t="s">
        <v>385</v>
      </c>
      <c r="C74" s="787"/>
      <c r="D74" s="788"/>
      <c r="E74" s="215"/>
      <c r="F74" s="248" t="s">
        <v>748</v>
      </c>
      <c r="G74" s="206"/>
      <c r="H74" s="236"/>
      <c r="I74" s="236"/>
      <c r="J74" s="206"/>
      <c r="K74" s="249"/>
      <c r="L74" s="250" t="s">
        <v>162</v>
      </c>
      <c r="M74" s="147"/>
      <c r="N74" s="135"/>
      <c r="AB74" s="251"/>
      <c r="AH74" s="252"/>
      <c r="AI74" s="252"/>
      <c r="AJ74" s="252"/>
      <c r="AK74" s="252"/>
      <c r="AL74" s="252"/>
      <c r="AM74" s="252"/>
      <c r="AN74" s="252"/>
      <c r="AO74" s="252"/>
      <c r="AP74" s="252"/>
      <c r="AQ74" s="252"/>
      <c r="AR74" s="252"/>
      <c r="AS74" s="252"/>
      <c r="AT74" s="252"/>
      <c r="AU74" s="252"/>
      <c r="AV74" s="252"/>
      <c r="AW74" s="252"/>
      <c r="AX74" s="252"/>
    </row>
    <row r="75" spans="1:50" s="10" customFormat="1" ht="11.25" customHeight="1">
      <c r="A75" s="108"/>
      <c r="C75" s="18"/>
      <c r="D75" s="692"/>
      <c r="E75" s="108"/>
      <c r="F75" s="36" t="s">
        <v>150</v>
      </c>
      <c r="G75" s="43" t="s">
        <v>151</v>
      </c>
      <c r="H75" s="253"/>
      <c r="I75" s="254" t="s">
        <v>153</v>
      </c>
      <c r="J75" s="40"/>
      <c r="K75" s="255"/>
      <c r="L75" s="256" t="s">
        <v>125</v>
      </c>
      <c r="M75" s="257" t="s">
        <v>154</v>
      </c>
      <c r="N75" s="258"/>
      <c r="X75" s="13"/>
      <c r="Y75" s="13"/>
      <c r="Z75" s="13"/>
      <c r="AA75" s="13"/>
      <c r="AB75" s="166"/>
      <c r="AC75" s="13"/>
      <c r="AD75" s="13"/>
      <c r="AE75" s="13"/>
      <c r="AF75" s="13"/>
      <c r="AG75" s="13"/>
      <c r="AH75" s="195"/>
      <c r="AI75" s="195"/>
      <c r="AJ75" s="195"/>
      <c r="AK75" s="195"/>
      <c r="AL75" s="195"/>
      <c r="AM75" s="195"/>
      <c r="AN75" s="195"/>
      <c r="AO75" s="195"/>
      <c r="AP75" s="195"/>
      <c r="AQ75" s="195"/>
      <c r="AR75" s="195"/>
      <c r="AS75" s="195"/>
      <c r="AT75" s="195"/>
      <c r="AU75" s="195"/>
      <c r="AV75" s="195"/>
      <c r="AW75" s="195"/>
      <c r="AX75" s="195"/>
    </row>
    <row r="76" spans="2:50" s="10" customFormat="1" ht="11.25" customHeight="1">
      <c r="B76" s="107" t="s">
        <v>386</v>
      </c>
      <c r="C76" s="657"/>
      <c r="D76" s="658"/>
      <c r="E76" s="209"/>
      <c r="F76" s="159"/>
      <c r="G76" s="259"/>
      <c r="H76" s="57"/>
      <c r="I76" s="260"/>
      <c r="J76" s="261" t="s">
        <v>175</v>
      </c>
      <c r="K76" s="262" t="s">
        <v>174</v>
      </c>
      <c r="L76" s="263" t="s">
        <v>128</v>
      </c>
      <c r="M76" s="264" t="s">
        <v>130</v>
      </c>
      <c r="N76" s="265"/>
      <c r="X76" s="13"/>
      <c r="Y76" s="13"/>
      <c r="Z76" s="13"/>
      <c r="AA76" s="13"/>
      <c r="AB76" s="166"/>
      <c r="AC76" s="13"/>
      <c r="AD76" s="13"/>
      <c r="AE76" s="13"/>
      <c r="AF76" s="13"/>
      <c r="AG76" s="13"/>
      <c r="AH76" s="195"/>
      <c r="AI76" s="195"/>
      <c r="AJ76" s="195"/>
      <c r="AK76" s="195"/>
      <c r="AL76" s="195"/>
      <c r="AM76" s="195"/>
      <c r="AN76" s="195"/>
      <c r="AO76" s="195"/>
      <c r="AP76" s="195"/>
      <c r="AQ76" s="195"/>
      <c r="AR76" s="195"/>
      <c r="AS76" s="195"/>
      <c r="AT76" s="195"/>
      <c r="AU76" s="195"/>
      <c r="AV76" s="195"/>
      <c r="AW76" s="195"/>
      <c r="AX76" s="195"/>
    </row>
    <row r="77" spans="2:50" s="10" customFormat="1" ht="11.25" customHeight="1">
      <c r="B77" s="112" t="s">
        <v>387</v>
      </c>
      <c r="C77" s="694" t="s">
        <v>590</v>
      </c>
      <c r="D77" s="791">
        <v>15</v>
      </c>
      <c r="E77" s="266"/>
      <c r="F77" s="267"/>
      <c r="G77" s="268"/>
      <c r="H77" s="34"/>
      <c r="I77" s="34"/>
      <c r="J77" s="269"/>
      <c r="K77" s="270"/>
      <c r="L77" s="271"/>
      <c r="M77" s="134"/>
      <c r="N77" s="135"/>
      <c r="X77" s="13"/>
      <c r="Y77" s="13"/>
      <c r="Z77" s="13"/>
      <c r="AA77" s="13"/>
      <c r="AB77" s="166"/>
      <c r="AC77" s="13"/>
      <c r="AD77" s="13"/>
      <c r="AE77" s="13"/>
      <c r="AF77" s="13"/>
      <c r="AG77" s="13"/>
      <c r="AH77" s="195"/>
      <c r="AI77" s="195"/>
      <c r="AJ77" s="195"/>
      <c r="AK77" s="195"/>
      <c r="AL77" s="195"/>
      <c r="AM77" s="195"/>
      <c r="AN77" s="195"/>
      <c r="AO77" s="195"/>
      <c r="AP77" s="195"/>
      <c r="AQ77" s="195"/>
      <c r="AR77" s="195"/>
      <c r="AS77" s="195"/>
      <c r="AT77" s="195"/>
      <c r="AU77" s="195"/>
      <c r="AV77" s="195"/>
      <c r="AW77" s="195"/>
      <c r="AX77" s="195"/>
    </row>
    <row r="78" spans="2:51" s="10" customFormat="1" ht="11.25" customHeight="1">
      <c r="B78" s="112" t="s">
        <v>487</v>
      </c>
      <c r="C78" s="657"/>
      <c r="D78" s="658">
        <v>1</v>
      </c>
      <c r="E78" s="209"/>
      <c r="F78" s="272" t="s">
        <v>341</v>
      </c>
      <c r="G78" s="268"/>
      <c r="H78" s="31"/>
      <c r="I78" s="31"/>
      <c r="J78" s="273"/>
      <c r="K78" s="268"/>
      <c r="L78" s="274"/>
      <c r="M78" s="268"/>
      <c r="N78" s="238"/>
      <c r="O78" s="275" t="s">
        <v>203</v>
      </c>
      <c r="P78" s="158"/>
      <c r="Q78" s="158"/>
      <c r="R78" s="158"/>
      <c r="S78" s="158"/>
      <c r="Y78" s="277" t="s">
        <v>525</v>
      </c>
      <c r="Z78" s="27"/>
      <c r="AA78" s="27"/>
      <c r="AB78" s="27"/>
      <c r="AC78" s="25"/>
      <c r="AD78" s="278" t="s">
        <v>162</v>
      </c>
      <c r="AE78" s="278" t="s">
        <v>286</v>
      </c>
      <c r="AF78" s="25"/>
      <c r="AG78" s="278"/>
      <c r="AH78" s="195"/>
      <c r="AI78" s="195"/>
      <c r="AJ78" s="195"/>
      <c r="AK78" s="195"/>
      <c r="AL78" s="195"/>
      <c r="AM78" s="195"/>
      <c r="AN78" s="195"/>
      <c r="AO78" s="195"/>
      <c r="AP78" s="195"/>
      <c r="AQ78" s="195"/>
      <c r="AR78" s="195"/>
      <c r="AS78" s="195"/>
      <c r="AT78" s="195"/>
      <c r="AU78" s="195"/>
      <c r="AV78" s="195"/>
      <c r="AW78" s="195"/>
      <c r="AX78" s="195"/>
      <c r="AY78" s="195"/>
    </row>
    <row r="79" spans="2:51" s="10" customFormat="1" ht="11.25" customHeight="1">
      <c r="B79" s="112" t="s">
        <v>488</v>
      </c>
      <c r="C79" s="657"/>
      <c r="D79" s="658">
        <v>1</v>
      </c>
      <c r="E79" s="209"/>
      <c r="F79" s="268" t="s">
        <v>352</v>
      </c>
      <c r="G79" s="268"/>
      <c r="H79" s="31"/>
      <c r="I79" s="31"/>
      <c r="J79" s="279" t="s">
        <v>237</v>
      </c>
      <c r="K79" s="268"/>
      <c r="L79" s="736">
        <f>(L29-L21)/1000*Q31*R31+S54</f>
        <v>13834.369152</v>
      </c>
      <c r="M79" s="268"/>
      <c r="N79" s="238"/>
      <c r="O79" s="93"/>
      <c r="P79" s="158" t="s">
        <v>210</v>
      </c>
      <c r="Q79" s="158" t="s">
        <v>208</v>
      </c>
      <c r="R79" s="158" t="s">
        <v>208</v>
      </c>
      <c r="S79" s="158" t="s">
        <v>208</v>
      </c>
      <c r="AB79" s="4"/>
      <c r="AH79" s="195"/>
      <c r="AI79" s="195"/>
      <c r="AJ79" s="195"/>
      <c r="AK79" s="195"/>
      <c r="AL79" s="195"/>
      <c r="AM79" s="195"/>
      <c r="AN79" s="195"/>
      <c r="AO79" s="195"/>
      <c r="AP79" s="195"/>
      <c r="AQ79" s="195"/>
      <c r="AR79" s="195"/>
      <c r="AS79" s="195"/>
      <c r="AT79" s="195"/>
      <c r="AU79" s="195"/>
      <c r="AV79" s="195"/>
      <c r="AW79" s="195"/>
      <c r="AX79" s="195"/>
      <c r="AY79" s="195"/>
    </row>
    <row r="80" spans="2:28" s="10" customFormat="1" ht="11.25" customHeight="1">
      <c r="B80" s="112" t="s">
        <v>489</v>
      </c>
      <c r="C80" s="657"/>
      <c r="D80" s="538">
        <v>0.5</v>
      </c>
      <c r="E80" s="209"/>
      <c r="F80" s="268" t="s">
        <v>342</v>
      </c>
      <c r="G80" s="268"/>
      <c r="H80" s="31"/>
      <c r="I80" s="31"/>
      <c r="J80" s="279" t="s">
        <v>237</v>
      </c>
      <c r="K80" s="268"/>
      <c r="L80" s="737">
        <f>L36/1000*Q31*R31</f>
        <v>1374.1286400000001</v>
      </c>
      <c r="M80" s="268"/>
      <c r="N80" s="238"/>
      <c r="O80" s="158"/>
      <c r="P80" s="158" t="s">
        <v>204</v>
      </c>
      <c r="Q80" s="158" t="s">
        <v>206</v>
      </c>
      <c r="R80" s="158" t="s">
        <v>205</v>
      </c>
      <c r="S80" s="158" t="s">
        <v>207</v>
      </c>
      <c r="Y80" s="166" t="s">
        <v>272</v>
      </c>
      <c r="AB80" s="4"/>
    </row>
    <row r="81" spans="2:95" s="10" customFormat="1" ht="11.25" customHeight="1">
      <c r="B81" s="112" t="s">
        <v>490</v>
      </c>
      <c r="C81" s="657"/>
      <c r="D81" s="658">
        <f>0.9*D80</f>
        <v>0.45</v>
      </c>
      <c r="E81" s="209"/>
      <c r="F81" s="268" t="s">
        <v>343</v>
      </c>
      <c r="G81" s="268"/>
      <c r="H81" s="31"/>
      <c r="I81" s="31"/>
      <c r="J81" s="279" t="s">
        <v>237</v>
      </c>
      <c r="K81" s="268"/>
      <c r="L81" s="737">
        <f>L42/1000*Q31*R31</f>
        <v>2633.7465599999996</v>
      </c>
      <c r="M81" s="134"/>
      <c r="N81" s="135"/>
      <c r="O81" s="158"/>
      <c r="P81" s="158"/>
      <c r="Q81" s="158"/>
      <c r="R81" s="158"/>
      <c r="S81" s="158"/>
      <c r="Y81" s="10" t="s">
        <v>271</v>
      </c>
      <c r="AC81" s="98"/>
      <c r="AD81" s="98">
        <f>S31</f>
        <v>17843.145784</v>
      </c>
      <c r="AE81" s="98"/>
      <c r="AF81" s="194"/>
      <c r="AG81" s="98"/>
      <c r="AH81" s="98"/>
      <c r="AI81" s="98"/>
      <c r="AJ81" s="98"/>
      <c r="AK81" s="98"/>
      <c r="AL81" s="98"/>
      <c r="AM81" s="98"/>
      <c r="AN81" s="98"/>
      <c r="AO81" s="98"/>
      <c r="AP81" s="98"/>
      <c r="AQ81" s="98"/>
      <c r="AR81" s="98"/>
      <c r="AS81" s="98"/>
      <c r="AT81" s="98"/>
      <c r="AU81" s="98"/>
      <c r="AV81" s="98"/>
      <c r="AW81" s="98"/>
      <c r="AX81" s="98"/>
      <c r="AY81" s="98"/>
      <c r="AZ81" s="98"/>
      <c r="BA81" s="98"/>
      <c r="BB81" s="98"/>
      <c r="BC81" s="98"/>
      <c r="BD81" s="98"/>
      <c r="BE81" s="98"/>
      <c r="BF81" s="98"/>
      <c r="BG81" s="98"/>
      <c r="BH81" s="98"/>
      <c r="BI81" s="98"/>
      <c r="BJ81" s="98"/>
      <c r="BK81" s="98"/>
      <c r="BL81" s="98"/>
      <c r="BM81" s="98"/>
      <c r="BN81" s="98"/>
      <c r="BO81" s="98"/>
      <c r="BP81" s="98"/>
      <c r="BQ81" s="98"/>
      <c r="BR81" s="98"/>
      <c r="BS81" s="98"/>
      <c r="BT81" s="98"/>
      <c r="BU81" s="98"/>
      <c r="BV81" s="98"/>
      <c r="BW81" s="98"/>
      <c r="BX81" s="98"/>
      <c r="BY81" s="98"/>
      <c r="BZ81" s="98"/>
      <c r="CA81" s="98"/>
      <c r="CB81" s="98"/>
      <c r="CC81" s="98"/>
      <c r="CD81" s="98"/>
      <c r="CE81" s="98"/>
      <c r="CF81" s="98"/>
      <c r="CG81" s="98"/>
      <c r="CH81" s="98"/>
      <c r="CI81" s="98"/>
      <c r="CJ81" s="98"/>
      <c r="CK81" s="98"/>
      <c r="CL81" s="98"/>
      <c r="CM81" s="98"/>
      <c r="CN81" s="98"/>
      <c r="CO81" s="98"/>
      <c r="CP81" s="98"/>
      <c r="CQ81" s="98"/>
    </row>
    <row r="82" spans="2:95" s="10" customFormat="1" ht="11.25" customHeight="1">
      <c r="B82" s="112" t="s">
        <v>491</v>
      </c>
      <c r="C82" s="657"/>
      <c r="D82" s="658" t="s">
        <v>591</v>
      </c>
      <c r="E82" s="209"/>
      <c r="F82" s="272" t="s">
        <v>344</v>
      </c>
      <c r="G82" s="268"/>
      <c r="H82" s="31"/>
      <c r="I82" s="31"/>
      <c r="J82" s="279" t="s">
        <v>237</v>
      </c>
      <c r="K82" s="268"/>
      <c r="L82" s="738">
        <f>L79+L80+L81</f>
        <v>17842.244352</v>
      </c>
      <c r="M82" s="134"/>
      <c r="N82" s="135"/>
      <c r="O82" s="10" t="s">
        <v>179</v>
      </c>
      <c r="P82" s="148">
        <v>4.3</v>
      </c>
      <c r="Q82" s="148">
        <v>5</v>
      </c>
      <c r="R82" s="148">
        <v>9.2</v>
      </c>
      <c r="S82" s="148">
        <v>4.8</v>
      </c>
      <c r="Y82" s="10" t="s">
        <v>274</v>
      </c>
      <c r="AC82" s="98"/>
      <c r="AD82" s="98">
        <f>U31</f>
        <v>5000.000000000001</v>
      </c>
      <c r="AE82" s="98"/>
      <c r="AF82" s="194"/>
      <c r="AG82" s="98"/>
      <c r="AH82" s="98"/>
      <c r="AI82" s="98"/>
      <c r="AJ82" s="98"/>
      <c r="AK82" s="98"/>
      <c r="AL82" s="98"/>
      <c r="AM82" s="98"/>
      <c r="AN82" s="98"/>
      <c r="AO82" s="98"/>
      <c r="AP82" s="98"/>
      <c r="AQ82" s="98"/>
      <c r="AR82" s="98"/>
      <c r="AS82" s="98"/>
      <c r="AT82" s="98"/>
      <c r="AU82" s="98"/>
      <c r="AV82" s="98"/>
      <c r="AW82" s="98"/>
      <c r="AX82" s="98"/>
      <c r="AY82" s="98"/>
      <c r="AZ82" s="98"/>
      <c r="BA82" s="98"/>
      <c r="BB82" s="98"/>
      <c r="BC82" s="98"/>
      <c r="BD82" s="98"/>
      <c r="BE82" s="98"/>
      <c r="BF82" s="98"/>
      <c r="BG82" s="98"/>
      <c r="BH82" s="98"/>
      <c r="BI82" s="98"/>
      <c r="BJ82" s="98"/>
      <c r="BK82" s="98"/>
      <c r="BL82" s="98"/>
      <c r="BM82" s="98"/>
      <c r="BN82" s="98"/>
      <c r="BO82" s="98"/>
      <c r="BP82" s="98"/>
      <c r="BQ82" s="98"/>
      <c r="BR82" s="98"/>
      <c r="BS82" s="98"/>
      <c r="BT82" s="98"/>
      <c r="BU82" s="98"/>
      <c r="BV82" s="98"/>
      <c r="BW82" s="98"/>
      <c r="BX82" s="98"/>
      <c r="BY82" s="98"/>
      <c r="BZ82" s="98"/>
      <c r="CA82" s="98"/>
      <c r="CB82" s="98"/>
      <c r="CC82" s="98"/>
      <c r="CD82" s="98"/>
      <c r="CE82" s="98"/>
      <c r="CF82" s="98"/>
      <c r="CG82" s="98"/>
      <c r="CH82" s="98"/>
      <c r="CI82" s="98"/>
      <c r="CJ82" s="98"/>
      <c r="CK82" s="98"/>
      <c r="CL82" s="98"/>
      <c r="CM82" s="98"/>
      <c r="CN82" s="98"/>
      <c r="CO82" s="98"/>
      <c r="CP82" s="98"/>
      <c r="CQ82" s="98"/>
    </row>
    <row r="83" spans="2:95" s="10" customFormat="1" ht="11.25" customHeight="1">
      <c r="B83" s="112" t="s">
        <v>492</v>
      </c>
      <c r="C83" s="657"/>
      <c r="D83" s="658">
        <v>0.75</v>
      </c>
      <c r="E83" s="209"/>
      <c r="F83" s="268"/>
      <c r="G83" s="268"/>
      <c r="H83" s="31"/>
      <c r="I83" s="31"/>
      <c r="J83" s="273"/>
      <c r="K83" s="268"/>
      <c r="L83" s="739"/>
      <c r="M83" s="134"/>
      <c r="N83" s="135"/>
      <c r="O83" s="10" t="s">
        <v>180</v>
      </c>
      <c r="P83" s="148">
        <v>15.2</v>
      </c>
      <c r="Q83" s="148">
        <v>22</v>
      </c>
      <c r="R83" s="148">
        <v>50.6</v>
      </c>
      <c r="S83" s="148">
        <v>23.9</v>
      </c>
      <c r="Y83" s="93" t="s">
        <v>275</v>
      </c>
      <c r="Z83" s="93"/>
      <c r="AA83" s="93"/>
      <c r="AB83" s="93"/>
      <c r="AC83" s="100"/>
      <c r="AD83" s="100">
        <f>AD31</f>
        <v>14168.60093012472</v>
      </c>
      <c r="AE83" s="98"/>
      <c r="AF83" s="194"/>
      <c r="AG83" s="98"/>
      <c r="AH83" s="98"/>
      <c r="AI83" s="98"/>
      <c r="AJ83" s="98"/>
      <c r="AK83" s="98"/>
      <c r="AL83" s="98"/>
      <c r="AM83" s="98"/>
      <c r="AN83" s="98"/>
      <c r="AO83" s="98"/>
      <c r="AP83" s="98"/>
      <c r="AQ83" s="98"/>
      <c r="AR83" s="98"/>
      <c r="AS83" s="98"/>
      <c r="AT83" s="98"/>
      <c r="AU83" s="98"/>
      <c r="AV83" s="98"/>
      <c r="AW83" s="98"/>
      <c r="AX83" s="98"/>
      <c r="AY83" s="98"/>
      <c r="AZ83" s="98"/>
      <c r="BA83" s="98"/>
      <c r="BB83" s="98"/>
      <c r="BC83" s="98"/>
      <c r="BD83" s="98"/>
      <c r="BE83" s="98"/>
      <c r="BF83" s="98"/>
      <c r="BG83" s="98"/>
      <c r="BH83" s="98"/>
      <c r="BI83" s="98"/>
      <c r="BJ83" s="98"/>
      <c r="BK83" s="98"/>
      <c r="BL83" s="98"/>
      <c r="BM83" s="98"/>
      <c r="BN83" s="98"/>
      <c r="BO83" s="98"/>
      <c r="BP83" s="98"/>
      <c r="BQ83" s="98"/>
      <c r="BR83" s="98"/>
      <c r="BS83" s="98"/>
      <c r="BT83" s="98"/>
      <c r="BU83" s="98"/>
      <c r="BV83" s="98"/>
      <c r="BW83" s="98"/>
      <c r="BX83" s="98"/>
      <c r="BY83" s="98"/>
      <c r="BZ83" s="98"/>
      <c r="CA83" s="98"/>
      <c r="CB83" s="98"/>
      <c r="CC83" s="98"/>
      <c r="CD83" s="98"/>
      <c r="CE83" s="98"/>
      <c r="CF83" s="98"/>
      <c r="CG83" s="98"/>
      <c r="CH83" s="98"/>
      <c r="CI83" s="98"/>
      <c r="CJ83" s="98"/>
      <c r="CK83" s="98"/>
      <c r="CL83" s="98"/>
      <c r="CM83" s="98"/>
      <c r="CN83" s="98"/>
      <c r="CO83" s="98"/>
      <c r="CP83" s="98"/>
      <c r="CQ83" s="98"/>
    </row>
    <row r="84" spans="2:95" s="10" customFormat="1" ht="11.25" customHeight="1">
      <c r="B84" s="107" t="s">
        <v>572</v>
      </c>
      <c r="C84" s="657"/>
      <c r="D84" s="658"/>
      <c r="E84" s="209"/>
      <c r="F84" s="54" t="s">
        <v>166</v>
      </c>
      <c r="G84" s="268"/>
      <c r="H84" s="34"/>
      <c r="I84" s="34"/>
      <c r="J84" s="279"/>
      <c r="K84" s="155"/>
      <c r="L84" s="740"/>
      <c r="M84" s="134"/>
      <c r="N84" s="135"/>
      <c r="O84" s="10" t="s">
        <v>181</v>
      </c>
      <c r="P84" s="148">
        <v>31.4</v>
      </c>
      <c r="Q84" s="148">
        <v>42.5</v>
      </c>
      <c r="R84" s="148">
        <v>65.1</v>
      </c>
      <c r="S84" s="148">
        <v>44.6</v>
      </c>
      <c r="Y84" s="166" t="s">
        <v>355</v>
      </c>
      <c r="Z84" s="166"/>
      <c r="AA84" s="166"/>
      <c r="AB84" s="166"/>
      <c r="AC84" s="136"/>
      <c r="AD84" s="136">
        <f>AD81+AD82-AD83</f>
        <v>8674.54485387528</v>
      </c>
      <c r="AE84" s="98">
        <f>AD84/C28</f>
        <v>43.372724269376405</v>
      </c>
      <c r="AF84" s="194"/>
      <c r="AG84" s="98"/>
      <c r="AH84" s="98"/>
      <c r="AI84" s="98"/>
      <c r="AJ84" s="98"/>
      <c r="AK84" s="98"/>
      <c r="AL84" s="98"/>
      <c r="AM84" s="98"/>
      <c r="AN84" s="98"/>
      <c r="AO84" s="98"/>
      <c r="AP84" s="98"/>
      <c r="AQ84" s="98"/>
      <c r="AR84" s="98"/>
      <c r="AS84" s="98"/>
      <c r="AT84" s="98"/>
      <c r="AU84" s="98"/>
      <c r="AV84" s="98"/>
      <c r="AW84" s="98"/>
      <c r="AX84" s="98"/>
      <c r="AY84" s="98"/>
      <c r="AZ84" s="98"/>
      <c r="BA84" s="98"/>
      <c r="BB84" s="98"/>
      <c r="BC84" s="98"/>
      <c r="BD84" s="98"/>
      <c r="BE84" s="98"/>
      <c r="BF84" s="98"/>
      <c r="BG84" s="98"/>
      <c r="BH84" s="98"/>
      <c r="BI84" s="98"/>
      <c r="BJ84" s="98"/>
      <c r="BK84" s="98"/>
      <c r="BL84" s="98"/>
      <c r="BM84" s="98"/>
      <c r="BN84" s="98"/>
      <c r="BO84" s="98"/>
      <c r="BP84" s="98"/>
      <c r="BQ84" s="98"/>
      <c r="BR84" s="98"/>
      <c r="BS84" s="98"/>
      <c r="BT84" s="98"/>
      <c r="BU84" s="98"/>
      <c r="BV84" s="98"/>
      <c r="BW84" s="98"/>
      <c r="BX84" s="98"/>
      <c r="BY84" s="98"/>
      <c r="BZ84" s="98"/>
      <c r="CA84" s="98"/>
      <c r="CB84" s="98"/>
      <c r="CC84" s="98"/>
      <c r="CD84" s="98"/>
      <c r="CE84" s="98"/>
      <c r="CF84" s="98"/>
      <c r="CG84" s="98"/>
      <c r="CH84" s="98"/>
      <c r="CI84" s="98"/>
      <c r="CJ84" s="98"/>
      <c r="CK84" s="98"/>
      <c r="CL84" s="98"/>
      <c r="CM84" s="98"/>
      <c r="CN84" s="98"/>
      <c r="CO84" s="98"/>
      <c r="CP84" s="98"/>
      <c r="CQ84" s="98"/>
    </row>
    <row r="85" spans="2:95" s="10" customFormat="1" ht="11.25" customHeight="1">
      <c r="B85" s="235" t="s">
        <v>388</v>
      </c>
      <c r="C85" s="60" t="s">
        <v>399</v>
      </c>
      <c r="D85" s="540">
        <v>200</v>
      </c>
      <c r="E85" s="209"/>
      <c r="F85" s="90" t="s">
        <v>162</v>
      </c>
      <c r="G85" s="281" t="s">
        <v>232</v>
      </c>
      <c r="H85" s="35" t="s">
        <v>314</v>
      </c>
      <c r="I85" s="35"/>
      <c r="J85" s="279" t="s">
        <v>177</v>
      </c>
      <c r="K85" s="270"/>
      <c r="L85" s="741">
        <f>0.05*D61*58.33*365</f>
        <v>4258.09</v>
      </c>
      <c r="M85" s="134"/>
      <c r="N85" s="135"/>
      <c r="O85" s="10" t="s">
        <v>182</v>
      </c>
      <c r="P85" s="148">
        <v>50.2</v>
      </c>
      <c r="Q85" s="148">
        <v>77.3</v>
      </c>
      <c r="R85" s="148">
        <v>96</v>
      </c>
      <c r="S85" s="148">
        <v>78.1</v>
      </c>
      <c r="AC85" s="98"/>
      <c r="AD85" s="98"/>
      <c r="AE85" s="98"/>
      <c r="AF85" s="194"/>
      <c r="AG85" s="98"/>
      <c r="AH85" s="98"/>
      <c r="AI85" s="98"/>
      <c r="AJ85" s="98"/>
      <c r="AK85" s="98"/>
      <c r="AL85" s="98"/>
      <c r="AM85" s="98"/>
      <c r="AN85" s="98"/>
      <c r="AO85" s="98"/>
      <c r="AP85" s="98"/>
      <c r="AQ85" s="98"/>
      <c r="AR85" s="98"/>
      <c r="AS85" s="98"/>
      <c r="AT85" s="98"/>
      <c r="AU85" s="98"/>
      <c r="AV85" s="98"/>
      <c r="AW85" s="98"/>
      <c r="AX85" s="98"/>
      <c r="AY85" s="98"/>
      <c r="AZ85" s="98"/>
      <c r="BA85" s="98"/>
      <c r="BB85" s="98"/>
      <c r="BC85" s="98"/>
      <c r="BD85" s="98"/>
      <c r="BE85" s="98"/>
      <c r="BF85" s="98"/>
      <c r="BG85" s="98"/>
      <c r="BH85" s="98"/>
      <c r="BI85" s="98"/>
      <c r="BJ85" s="98"/>
      <c r="BK85" s="98"/>
      <c r="BL85" s="98"/>
      <c r="BM85" s="98"/>
      <c r="BN85" s="98"/>
      <c r="BO85" s="98"/>
      <c r="BP85" s="98"/>
      <c r="BQ85" s="98"/>
      <c r="BR85" s="98"/>
      <c r="BS85" s="98"/>
      <c r="BT85" s="98"/>
      <c r="BU85" s="98"/>
      <c r="BV85" s="98"/>
      <c r="BW85" s="98"/>
      <c r="BX85" s="98"/>
      <c r="BY85" s="98"/>
      <c r="BZ85" s="98"/>
      <c r="CA85" s="98"/>
      <c r="CB85" s="98"/>
      <c r="CC85" s="98"/>
      <c r="CD85" s="98"/>
      <c r="CE85" s="98"/>
      <c r="CF85" s="98"/>
      <c r="CG85" s="98"/>
      <c r="CH85" s="98"/>
      <c r="CI85" s="98"/>
      <c r="CJ85" s="98"/>
      <c r="CK85" s="98"/>
      <c r="CL85" s="98"/>
      <c r="CM85" s="98"/>
      <c r="CN85" s="98"/>
      <c r="CO85" s="98"/>
      <c r="CP85" s="98"/>
      <c r="CQ85" s="98"/>
    </row>
    <row r="86" spans="1:95" s="10" customFormat="1" ht="11.25" customHeight="1">
      <c r="A86" s="108"/>
      <c r="B86" s="10" t="s">
        <v>573</v>
      </c>
      <c r="C86" s="696" t="s">
        <v>443</v>
      </c>
      <c r="D86" s="544">
        <v>1.5</v>
      </c>
      <c r="E86" s="209"/>
      <c r="F86" s="268"/>
      <c r="G86" s="282"/>
      <c r="H86" s="35"/>
      <c r="I86" s="35"/>
      <c r="J86" s="279"/>
      <c r="K86" s="270"/>
      <c r="L86" s="736"/>
      <c r="M86" s="134"/>
      <c r="N86" s="135"/>
      <c r="O86" s="10" t="s">
        <v>183</v>
      </c>
      <c r="P86" s="148">
        <v>54.1</v>
      </c>
      <c r="Q86" s="148">
        <v>93.3</v>
      </c>
      <c r="R86" s="148">
        <v>99.8</v>
      </c>
      <c r="S86" s="148">
        <v>91.8</v>
      </c>
      <c r="Y86" s="166" t="s">
        <v>276</v>
      </c>
      <c r="AB86" s="4"/>
      <c r="AC86" s="98"/>
      <c r="AD86" s="98"/>
      <c r="AE86" s="98"/>
      <c r="AF86" s="194"/>
      <c r="AG86" s="98"/>
      <c r="AH86" s="98"/>
      <c r="AI86" s="98"/>
      <c r="AJ86" s="98"/>
      <c r="AK86" s="98"/>
      <c r="AL86" s="98"/>
      <c r="AM86" s="98"/>
      <c r="AN86" s="98"/>
      <c r="AO86" s="98"/>
      <c r="AP86" s="98"/>
      <c r="AQ86" s="98"/>
      <c r="AR86" s="98"/>
      <c r="AS86" s="98"/>
      <c r="AT86" s="98"/>
      <c r="AU86" s="98"/>
      <c r="AV86" s="98"/>
      <c r="AW86" s="98"/>
      <c r="AX86" s="98"/>
      <c r="AY86" s="98"/>
      <c r="AZ86" s="98"/>
      <c r="BA86" s="98"/>
      <c r="BB86" s="98"/>
      <c r="BC86" s="98"/>
      <c r="BD86" s="98"/>
      <c r="BE86" s="98"/>
      <c r="BF86" s="98"/>
      <c r="BG86" s="98"/>
      <c r="BH86" s="98"/>
      <c r="BI86" s="98"/>
      <c r="BJ86" s="98"/>
      <c r="BK86" s="98"/>
      <c r="BL86" s="98"/>
      <c r="BM86" s="98"/>
      <c r="BN86" s="98"/>
      <c r="BO86" s="98"/>
      <c r="BP86" s="98"/>
      <c r="BQ86" s="98"/>
      <c r="BR86" s="98"/>
      <c r="BS86" s="98"/>
      <c r="BT86" s="98"/>
      <c r="BU86" s="98"/>
      <c r="BV86" s="98"/>
      <c r="BW86" s="98"/>
      <c r="BX86" s="98"/>
      <c r="BY86" s="98"/>
      <c r="BZ86" s="98"/>
      <c r="CA86" s="98"/>
      <c r="CB86" s="98"/>
      <c r="CC86" s="98"/>
      <c r="CD86" s="98"/>
      <c r="CE86" s="98"/>
      <c r="CF86" s="98"/>
      <c r="CG86" s="98"/>
      <c r="CH86" s="98"/>
      <c r="CI86" s="98"/>
      <c r="CJ86" s="98"/>
      <c r="CK86" s="98"/>
      <c r="CL86" s="98"/>
      <c r="CM86" s="98"/>
      <c r="CN86" s="98"/>
      <c r="CO86" s="98"/>
      <c r="CP86" s="98"/>
      <c r="CQ86" s="98"/>
    </row>
    <row r="87" spans="1:95" s="10" customFormat="1" ht="11.25" customHeight="1">
      <c r="A87" s="108"/>
      <c r="B87" s="10" t="s">
        <v>74</v>
      </c>
      <c r="C87" s="694" t="s">
        <v>325</v>
      </c>
      <c r="D87" s="540">
        <v>5</v>
      </c>
      <c r="E87" s="209"/>
      <c r="F87" s="283" t="s">
        <v>167</v>
      </c>
      <c r="G87" s="284"/>
      <c r="H87" s="35"/>
      <c r="I87" s="35"/>
      <c r="J87" s="279"/>
      <c r="K87" s="270"/>
      <c r="L87" s="736"/>
      <c r="M87" s="134"/>
      <c r="N87" s="135"/>
      <c r="O87" s="10" t="s">
        <v>184</v>
      </c>
      <c r="P87" s="148">
        <v>70.2</v>
      </c>
      <c r="Q87" s="148">
        <v>114.5</v>
      </c>
      <c r="R87" s="148">
        <v>105.4</v>
      </c>
      <c r="S87" s="148">
        <v>104.6</v>
      </c>
      <c r="Y87" s="13" t="s">
        <v>277</v>
      </c>
      <c r="Z87" s="13"/>
      <c r="AA87" s="13"/>
      <c r="AB87" s="13"/>
      <c r="AC87" s="98"/>
      <c r="AD87" s="98">
        <f>T31</f>
        <v>4258.09</v>
      </c>
      <c r="AE87" s="98"/>
      <c r="AF87" s="194"/>
      <c r="AG87" s="98"/>
      <c r="AH87" s="98"/>
      <c r="AI87" s="98"/>
      <c r="AJ87" s="98"/>
      <c r="AK87" s="98"/>
      <c r="AL87" s="98"/>
      <c r="AM87" s="98"/>
      <c r="AN87" s="98"/>
      <c r="AO87" s="98"/>
      <c r="AP87" s="98"/>
      <c r="AQ87" s="98"/>
      <c r="AR87" s="98"/>
      <c r="AS87" s="98"/>
      <c r="AT87" s="98"/>
      <c r="AU87" s="98"/>
      <c r="AV87" s="98"/>
      <c r="AW87" s="98"/>
      <c r="AX87" s="98"/>
      <c r="AY87" s="98"/>
      <c r="AZ87" s="98"/>
      <c r="BA87" s="98"/>
      <c r="BB87" s="98"/>
      <c r="BC87" s="98"/>
      <c r="BD87" s="98"/>
      <c r="BE87" s="98"/>
      <c r="BF87" s="98"/>
      <c r="BG87" s="98"/>
      <c r="BH87" s="98"/>
      <c r="BI87" s="98"/>
      <c r="BJ87" s="98"/>
      <c r="BK87" s="98"/>
      <c r="BL87" s="98"/>
      <c r="BM87" s="98"/>
      <c r="BN87" s="98"/>
      <c r="BO87" s="98"/>
      <c r="BP87" s="98"/>
      <c r="BQ87" s="98"/>
      <c r="BR87" s="98"/>
      <c r="BS87" s="98"/>
      <c r="BT87" s="98"/>
      <c r="BU87" s="98"/>
      <c r="BV87" s="98"/>
      <c r="BW87" s="98"/>
      <c r="BX87" s="98"/>
      <c r="BY87" s="98"/>
      <c r="BZ87" s="98"/>
      <c r="CA87" s="98"/>
      <c r="CB87" s="98"/>
      <c r="CC87" s="98"/>
      <c r="CD87" s="98"/>
      <c r="CE87" s="98"/>
      <c r="CF87" s="98"/>
      <c r="CG87" s="98"/>
      <c r="CH87" s="98"/>
      <c r="CI87" s="98"/>
      <c r="CJ87" s="98"/>
      <c r="CK87" s="98"/>
      <c r="CL87" s="98"/>
      <c r="CM87" s="98"/>
      <c r="CN87" s="98"/>
      <c r="CO87" s="98"/>
      <c r="CP87" s="98"/>
      <c r="CQ87" s="98"/>
    </row>
    <row r="88" spans="2:95" s="10" customFormat="1" ht="11.25" customHeight="1">
      <c r="B88" s="107" t="s">
        <v>441</v>
      </c>
      <c r="C88" s="657"/>
      <c r="D88" s="791"/>
      <c r="E88" s="209"/>
      <c r="F88" s="268" t="s">
        <v>317</v>
      </c>
      <c r="G88" s="282" t="s">
        <v>697</v>
      </c>
      <c r="H88" s="10" t="s">
        <v>696</v>
      </c>
      <c r="J88" s="279" t="s">
        <v>178</v>
      </c>
      <c r="K88" s="268"/>
      <c r="L88" s="737">
        <v>2000</v>
      </c>
      <c r="M88" s="134"/>
      <c r="N88" s="135"/>
      <c r="O88" s="10" t="s">
        <v>185</v>
      </c>
      <c r="P88" s="148">
        <v>58.2</v>
      </c>
      <c r="Q88" s="148">
        <v>95.7</v>
      </c>
      <c r="R88" s="148">
        <v>85.7</v>
      </c>
      <c r="S88" s="148">
        <v>81</v>
      </c>
      <c r="Y88" s="10" t="s">
        <v>274</v>
      </c>
      <c r="Z88" s="13"/>
      <c r="AA88" s="13"/>
      <c r="AC88" s="97"/>
      <c r="AD88" s="98">
        <f>V31</f>
        <v>2999.9999999999995</v>
      </c>
      <c r="AE88" s="98"/>
      <c r="AF88" s="194"/>
      <c r="AG88" s="98"/>
      <c r="AH88" s="98"/>
      <c r="AI88" s="98"/>
      <c r="AJ88" s="98"/>
      <c r="AK88" s="98"/>
      <c r="AL88" s="98"/>
      <c r="AM88" s="98"/>
      <c r="AN88" s="98"/>
      <c r="AO88" s="98"/>
      <c r="AP88" s="98"/>
      <c r="AQ88" s="98"/>
      <c r="AR88" s="98"/>
      <c r="AS88" s="98"/>
      <c r="AT88" s="98"/>
      <c r="AU88" s="98"/>
      <c r="AV88" s="98"/>
      <c r="AW88" s="98"/>
      <c r="AX88" s="98"/>
      <c r="AY88" s="98"/>
      <c r="AZ88" s="98"/>
      <c r="BA88" s="98"/>
      <c r="BB88" s="98"/>
      <c r="BC88" s="98"/>
      <c r="BD88" s="98"/>
      <c r="BE88" s="98"/>
      <c r="BF88" s="98"/>
      <c r="BG88" s="98"/>
      <c r="BH88" s="98"/>
      <c r="BI88" s="98"/>
      <c r="BJ88" s="98"/>
      <c r="BK88" s="98"/>
      <c r="BL88" s="98"/>
      <c r="BM88" s="98"/>
      <c r="BN88" s="98"/>
      <c r="BO88" s="98"/>
      <c r="BP88" s="98"/>
      <c r="BQ88" s="98"/>
      <c r="BR88" s="98"/>
      <c r="BS88" s="98"/>
      <c r="BT88" s="98"/>
      <c r="BU88" s="98"/>
      <c r="BV88" s="98"/>
      <c r="BW88" s="98"/>
      <c r="BX88" s="98"/>
      <c r="BY88" s="98"/>
      <c r="BZ88" s="98"/>
      <c r="CA88" s="98"/>
      <c r="CB88" s="98"/>
      <c r="CC88" s="98"/>
      <c r="CD88" s="98"/>
      <c r="CE88" s="98"/>
      <c r="CF88" s="98"/>
      <c r="CG88" s="98"/>
      <c r="CH88" s="98"/>
      <c r="CI88" s="98"/>
      <c r="CJ88" s="98"/>
      <c r="CK88" s="98"/>
      <c r="CL88" s="98"/>
      <c r="CM88" s="98"/>
      <c r="CN88" s="98"/>
      <c r="CO88" s="98"/>
      <c r="CP88" s="98"/>
      <c r="CQ88" s="98"/>
    </row>
    <row r="89" spans="2:95" s="10" customFormat="1" ht="11.25" customHeight="1">
      <c r="B89" s="805" t="s">
        <v>574</v>
      </c>
      <c r="C89" s="806" t="s">
        <v>575</v>
      </c>
      <c r="D89" s="808"/>
      <c r="E89" s="209"/>
      <c r="F89" s="268" t="s">
        <v>345</v>
      </c>
      <c r="G89" s="282" t="s">
        <v>747</v>
      </c>
      <c r="H89" s="10" t="s">
        <v>260</v>
      </c>
      <c r="J89" s="279" t="s">
        <v>178</v>
      </c>
      <c r="K89" s="268"/>
      <c r="L89" s="737">
        <f>D105*C28</f>
        <v>3000</v>
      </c>
      <c r="M89" s="134"/>
      <c r="N89" s="135"/>
      <c r="O89" s="13" t="s">
        <v>186</v>
      </c>
      <c r="P89" s="285">
        <v>41.7</v>
      </c>
      <c r="Q89" s="285">
        <v>74.7</v>
      </c>
      <c r="R89" s="285">
        <v>91.8</v>
      </c>
      <c r="S89" s="285">
        <v>79.1</v>
      </c>
      <c r="Y89" s="175" t="s">
        <v>275</v>
      </c>
      <c r="Z89" s="175"/>
      <c r="AA89" s="175"/>
      <c r="AB89" s="175"/>
      <c r="AC89" s="286"/>
      <c r="AD89" s="286">
        <v>0</v>
      </c>
      <c r="AE89" s="97"/>
      <c r="AF89" s="239"/>
      <c r="AG89" s="97"/>
      <c r="AH89" s="98"/>
      <c r="AI89" s="98"/>
      <c r="AJ89" s="98"/>
      <c r="AK89" s="98"/>
      <c r="AL89" s="98"/>
      <c r="AM89" s="98"/>
      <c r="AN89" s="98"/>
      <c r="AO89" s="98"/>
      <c r="AP89" s="98"/>
      <c r="AQ89" s="98"/>
      <c r="AR89" s="98"/>
      <c r="AS89" s="98"/>
      <c r="AT89" s="98"/>
      <c r="AU89" s="98"/>
      <c r="AV89" s="98"/>
      <c r="AW89" s="98"/>
      <c r="AX89" s="98"/>
      <c r="AY89" s="98"/>
      <c r="AZ89" s="98"/>
      <c r="BA89" s="98"/>
      <c r="BB89" s="98"/>
      <c r="BC89" s="98"/>
      <c r="BD89" s="98"/>
      <c r="BE89" s="98"/>
      <c r="BF89" s="98"/>
      <c r="BG89" s="98"/>
      <c r="BH89" s="98"/>
      <c r="BI89" s="98"/>
      <c r="BJ89" s="98"/>
      <c r="BK89" s="98"/>
      <c r="BL89" s="98"/>
      <c r="BM89" s="98"/>
      <c r="BN89" s="98"/>
      <c r="BO89" s="98"/>
      <c r="BP89" s="98"/>
      <c r="BQ89" s="98"/>
      <c r="BR89" s="98"/>
      <c r="BS89" s="98"/>
      <c r="BT89" s="98"/>
      <c r="BU89" s="98"/>
      <c r="BV89" s="98"/>
      <c r="BW89" s="98"/>
      <c r="BX89" s="98"/>
      <c r="BY89" s="98"/>
      <c r="BZ89" s="98"/>
      <c r="CA89" s="98"/>
      <c r="CB89" s="98"/>
      <c r="CC89" s="98"/>
      <c r="CD89" s="98"/>
      <c r="CE89" s="98"/>
      <c r="CF89" s="98"/>
      <c r="CG89" s="98"/>
      <c r="CH89" s="98"/>
      <c r="CI89" s="98"/>
      <c r="CJ89" s="98"/>
      <c r="CK89" s="98"/>
      <c r="CL89" s="98"/>
      <c r="CM89" s="98"/>
      <c r="CN89" s="98"/>
      <c r="CO89" s="98"/>
      <c r="CP89" s="98"/>
      <c r="CQ89" s="98"/>
    </row>
    <row r="90" spans="2:95" s="10" customFormat="1" ht="11.25" customHeight="1">
      <c r="B90" s="235" t="s">
        <v>576</v>
      </c>
      <c r="C90" s="657" t="s">
        <v>445</v>
      </c>
      <c r="D90" s="540">
        <v>77</v>
      </c>
      <c r="E90" s="209"/>
      <c r="F90" s="267" t="s">
        <v>318</v>
      </c>
      <c r="G90" s="282" t="s">
        <v>698</v>
      </c>
      <c r="H90" s="35" t="s">
        <v>321</v>
      </c>
      <c r="I90" s="35"/>
      <c r="J90" s="279" t="s">
        <v>319</v>
      </c>
      <c r="K90" s="270"/>
      <c r="L90" s="736">
        <v>0</v>
      </c>
      <c r="M90" s="134"/>
      <c r="N90" s="135"/>
      <c r="O90" s="10" t="s">
        <v>187</v>
      </c>
      <c r="P90" s="148">
        <v>21.6</v>
      </c>
      <c r="Q90" s="148">
        <v>43.5</v>
      </c>
      <c r="R90" s="148">
        <v>66.6</v>
      </c>
      <c r="S90" s="148">
        <v>42.8</v>
      </c>
      <c r="Y90" s="166" t="s">
        <v>356</v>
      </c>
      <c r="Z90" s="13"/>
      <c r="AA90" s="13"/>
      <c r="AB90" s="13"/>
      <c r="AC90" s="97"/>
      <c r="AD90" s="136">
        <f>AD87+AD88-AD89</f>
        <v>7258.09</v>
      </c>
      <c r="AE90" s="97">
        <f>AD90/C28</f>
        <v>36.29045</v>
      </c>
      <c r="AF90" s="239"/>
      <c r="AG90" s="97"/>
      <c r="AH90" s="98"/>
      <c r="AI90" s="98"/>
      <c r="AJ90" s="98"/>
      <c r="AK90" s="98"/>
      <c r="AL90" s="98"/>
      <c r="AM90" s="98"/>
      <c r="AN90" s="98"/>
      <c r="AO90" s="98"/>
      <c r="AP90" s="98"/>
      <c r="AQ90" s="98"/>
      <c r="AR90" s="98"/>
      <c r="AS90" s="98"/>
      <c r="AT90" s="98"/>
      <c r="AU90" s="98"/>
      <c r="AV90" s="98"/>
      <c r="AW90" s="98"/>
      <c r="AX90" s="98"/>
      <c r="AY90" s="98"/>
      <c r="AZ90" s="98"/>
      <c r="BA90" s="98"/>
      <c r="BB90" s="98"/>
      <c r="BC90" s="98"/>
      <c r="BD90" s="98"/>
      <c r="BE90" s="98"/>
      <c r="BF90" s="98"/>
      <c r="BG90" s="98"/>
      <c r="BH90" s="98"/>
      <c r="BI90" s="98"/>
      <c r="BJ90" s="98"/>
      <c r="BK90" s="98"/>
      <c r="BL90" s="98"/>
      <c r="BM90" s="98"/>
      <c r="BN90" s="98"/>
      <c r="BO90" s="98"/>
      <c r="BP90" s="98"/>
      <c r="BQ90" s="98"/>
      <c r="BR90" s="98"/>
      <c r="BS90" s="98"/>
      <c r="BT90" s="98"/>
      <c r="BU90" s="98"/>
      <c r="BV90" s="98"/>
      <c r="BW90" s="98"/>
      <c r="BX90" s="98"/>
      <c r="BY90" s="98"/>
      <c r="BZ90" s="98"/>
      <c r="CA90" s="98"/>
      <c r="CB90" s="98"/>
      <c r="CC90" s="98"/>
      <c r="CD90" s="98"/>
      <c r="CE90" s="98"/>
      <c r="CF90" s="98"/>
      <c r="CG90" s="98"/>
      <c r="CH90" s="98"/>
      <c r="CI90" s="98"/>
      <c r="CJ90" s="98"/>
      <c r="CK90" s="98"/>
      <c r="CL90" s="98"/>
      <c r="CM90" s="98"/>
      <c r="CN90" s="98"/>
      <c r="CO90" s="98"/>
      <c r="CP90" s="98"/>
      <c r="CQ90" s="98"/>
    </row>
    <row r="91" spans="2:33" s="10" customFormat="1" ht="11.25" customHeight="1">
      <c r="B91" s="235" t="s">
        <v>577</v>
      </c>
      <c r="C91" s="657" t="s">
        <v>445</v>
      </c>
      <c r="D91" s="540">
        <v>78</v>
      </c>
      <c r="E91" s="287"/>
      <c r="F91" s="267" t="s">
        <v>346</v>
      </c>
      <c r="G91" s="282" t="s">
        <v>165</v>
      </c>
      <c r="H91" s="10" t="s">
        <v>260</v>
      </c>
      <c r="I91" s="35"/>
      <c r="J91" s="279" t="s">
        <v>699</v>
      </c>
      <c r="K91" s="270"/>
      <c r="L91" s="736">
        <f>D112*C28</f>
        <v>3000</v>
      </c>
      <c r="M91" s="288"/>
      <c r="N91" s="99"/>
      <c r="O91" s="10" t="s">
        <v>188</v>
      </c>
      <c r="P91" s="148">
        <v>10</v>
      </c>
      <c r="Q91" s="148">
        <v>19.6</v>
      </c>
      <c r="R91" s="148">
        <v>43.4</v>
      </c>
      <c r="S91" s="148">
        <v>19.3</v>
      </c>
      <c r="Y91" s="13"/>
      <c r="Z91" s="13"/>
      <c r="AA91" s="13"/>
      <c r="AB91" s="13"/>
      <c r="AC91" s="97"/>
      <c r="AD91" s="97"/>
      <c r="AE91" s="97"/>
      <c r="AF91" s="239"/>
      <c r="AG91" s="97"/>
    </row>
    <row r="92" spans="1:33" s="93" customFormat="1" ht="11.25" customHeight="1">
      <c r="A92" s="10"/>
      <c r="B92" s="235" t="s">
        <v>56</v>
      </c>
      <c r="C92" s="195" t="s">
        <v>445</v>
      </c>
      <c r="D92" s="540">
        <v>95</v>
      </c>
      <c r="E92" s="287"/>
      <c r="F92" s="268" t="s">
        <v>347</v>
      </c>
      <c r="G92" s="282" t="s">
        <v>7</v>
      </c>
      <c r="H92" s="35" t="s">
        <v>695</v>
      </c>
      <c r="I92" s="35"/>
      <c r="J92" s="279" t="s">
        <v>261</v>
      </c>
      <c r="K92" s="270"/>
      <c r="L92" s="742">
        <f>D113*R31</f>
        <v>0</v>
      </c>
      <c r="M92" s="288"/>
      <c r="N92" s="99"/>
      <c r="O92" s="10" t="s">
        <v>189</v>
      </c>
      <c r="P92" s="148">
        <v>3.9</v>
      </c>
      <c r="Q92" s="148">
        <v>4.5</v>
      </c>
      <c r="R92" s="148">
        <v>7.3</v>
      </c>
      <c r="S92" s="148">
        <v>4.4</v>
      </c>
      <c r="Y92" s="166" t="s">
        <v>278</v>
      </c>
      <c r="Z92" s="13"/>
      <c r="AA92" s="13"/>
      <c r="AB92" s="13"/>
      <c r="AC92" s="97"/>
      <c r="AD92" s="136">
        <f>AD84+AD90</f>
        <v>15932.63485387528</v>
      </c>
      <c r="AE92" s="136">
        <f>AD92/C28</f>
        <v>79.6631742693764</v>
      </c>
      <c r="AF92" s="239"/>
      <c r="AG92" s="97"/>
    </row>
    <row r="93" spans="1:98" s="93" customFormat="1" ht="11.25" customHeight="1">
      <c r="A93" s="10"/>
      <c r="B93" s="235" t="s">
        <v>70</v>
      </c>
      <c r="C93" s="694" t="s">
        <v>325</v>
      </c>
      <c r="D93" s="540">
        <v>18</v>
      </c>
      <c r="E93" s="287"/>
      <c r="F93" s="283"/>
      <c r="G93" s="282"/>
      <c r="H93" s="35"/>
      <c r="I93" s="35"/>
      <c r="J93" s="279"/>
      <c r="K93" s="270"/>
      <c r="L93" s="741"/>
      <c r="M93" s="288"/>
      <c r="N93" s="99"/>
      <c r="O93" s="10" t="s">
        <v>190</v>
      </c>
      <c r="P93" s="148">
        <v>2</v>
      </c>
      <c r="Q93" s="148">
        <v>2.1</v>
      </c>
      <c r="R93" s="148">
        <v>3</v>
      </c>
      <c r="S93" s="148">
        <v>2.1</v>
      </c>
      <c r="Y93" s="289" t="s">
        <v>338</v>
      </c>
      <c r="Z93" s="13"/>
      <c r="AA93" s="13"/>
      <c r="AB93" s="13"/>
      <c r="AC93" s="97"/>
      <c r="AD93" s="136">
        <f>W31</f>
        <v>10000.000000000002</v>
      </c>
      <c r="AE93" s="136">
        <f>AD93/C28</f>
        <v>50.00000000000001</v>
      </c>
      <c r="AF93" s="239"/>
      <c r="AG93" s="97"/>
      <c r="AH93" s="158"/>
      <c r="AI93" s="158"/>
      <c r="AJ93" s="158"/>
      <c r="AK93" s="158"/>
      <c r="AL93" s="158"/>
      <c r="AM93" s="158"/>
      <c r="AN93" s="158"/>
      <c r="AO93" s="158"/>
      <c r="AP93" s="158"/>
      <c r="AQ93" s="158"/>
      <c r="AR93" s="158"/>
      <c r="AS93" s="158"/>
      <c r="AT93" s="158"/>
      <c r="AU93" s="158"/>
      <c r="AV93" s="158"/>
      <c r="AW93" s="158"/>
      <c r="AX93" s="158"/>
      <c r="AY93" s="158"/>
      <c r="AZ93" s="158"/>
      <c r="BA93" s="158"/>
      <c r="BB93" s="158"/>
      <c r="BC93" s="158"/>
      <c r="BD93" s="158"/>
      <c r="BE93" s="158"/>
      <c r="BF93" s="158"/>
      <c r="BG93" s="158"/>
      <c r="BH93" s="158"/>
      <c r="BI93" s="158"/>
      <c r="BJ93" s="158"/>
      <c r="BK93" s="158"/>
      <c r="BL93" s="158"/>
      <c r="BM93" s="158"/>
      <c r="BN93" s="158"/>
      <c r="BO93" s="158"/>
      <c r="BP93" s="158"/>
      <c r="BQ93" s="158"/>
      <c r="BR93" s="158"/>
      <c r="BS93" s="158"/>
      <c r="BT93" s="158"/>
      <c r="BU93" s="158"/>
      <c r="BV93" s="158"/>
      <c r="BW93" s="158"/>
      <c r="BX93" s="158"/>
      <c r="BY93" s="158"/>
      <c r="BZ93" s="158"/>
      <c r="CA93" s="158"/>
      <c r="CB93" s="158"/>
      <c r="CC93" s="158"/>
      <c r="CD93" s="158"/>
      <c r="CE93" s="158"/>
      <c r="CF93" s="158"/>
      <c r="CG93" s="158"/>
      <c r="CH93" s="158"/>
      <c r="CI93" s="158"/>
      <c r="CJ93" s="158"/>
      <c r="CK93" s="158"/>
      <c r="CL93" s="158"/>
      <c r="CM93" s="158"/>
      <c r="CN93" s="158"/>
      <c r="CO93" s="158"/>
      <c r="CP93" s="158"/>
      <c r="CQ93" s="158"/>
      <c r="CR93" s="158"/>
      <c r="CS93" s="158"/>
      <c r="CT93" s="158"/>
    </row>
    <row r="94" spans="1:98" s="93" customFormat="1" ht="11.25" customHeight="1">
      <c r="A94" s="10"/>
      <c r="B94" s="235" t="s">
        <v>37</v>
      </c>
      <c r="C94" s="830" t="s">
        <v>38</v>
      </c>
      <c r="D94" s="540">
        <v>-10</v>
      </c>
      <c r="E94" s="287"/>
      <c r="F94" s="54" t="s">
        <v>168</v>
      </c>
      <c r="G94" s="282" t="s">
        <v>169</v>
      </c>
      <c r="H94" s="35" t="s">
        <v>700</v>
      </c>
      <c r="I94" s="35"/>
      <c r="J94" s="279" t="s">
        <v>176</v>
      </c>
      <c r="K94" s="155"/>
      <c r="L94" s="741">
        <f>50*C28</f>
        <v>10000</v>
      </c>
      <c r="M94" s="288"/>
      <c r="N94" s="99"/>
      <c r="O94" s="10"/>
      <c r="P94" s="148"/>
      <c r="Q94" s="148"/>
      <c r="R94" s="148"/>
      <c r="S94" s="148"/>
      <c r="X94" s="290"/>
      <c r="Y94" s="291"/>
      <c r="Z94" s="291" t="s">
        <v>515</v>
      </c>
      <c r="AA94" s="291"/>
      <c r="AB94" s="291"/>
      <c r="AC94" s="291"/>
      <c r="AD94" s="291">
        <f>SUM(AD92:AD93)</f>
        <v>25932.634853875283</v>
      </c>
      <c r="AE94" s="292">
        <f>ROUND(SUM(AE92:AE93),0)</f>
        <v>130</v>
      </c>
      <c r="AF94" s="291"/>
      <c r="AG94" s="291"/>
      <c r="AH94" s="158"/>
      <c r="AI94" s="158"/>
      <c r="AJ94" s="158"/>
      <c r="AK94" s="158"/>
      <c r="AL94" s="158"/>
      <c r="AM94" s="158"/>
      <c r="AN94" s="158"/>
      <c r="AO94" s="158"/>
      <c r="AP94" s="158"/>
      <c r="AQ94" s="158"/>
      <c r="AR94" s="158"/>
      <c r="AS94" s="158"/>
      <c r="AT94" s="158"/>
      <c r="AU94" s="158"/>
      <c r="AV94" s="158"/>
      <c r="AW94" s="158"/>
      <c r="AX94" s="158"/>
      <c r="AY94" s="158"/>
      <c r="AZ94" s="158"/>
      <c r="BA94" s="158"/>
      <c r="BB94" s="158"/>
      <c r="BC94" s="158"/>
      <c r="BD94" s="158"/>
      <c r="BE94" s="158"/>
      <c r="BF94" s="158"/>
      <c r="BG94" s="158"/>
      <c r="BH94" s="158"/>
      <c r="BI94" s="158"/>
      <c r="BJ94" s="158"/>
      <c r="BK94" s="158"/>
      <c r="BL94" s="158"/>
      <c r="BM94" s="158"/>
      <c r="BN94" s="158"/>
      <c r="BO94" s="158"/>
      <c r="BP94" s="158"/>
      <c r="BQ94" s="158"/>
      <c r="BR94" s="158"/>
      <c r="BS94" s="158"/>
      <c r="BT94" s="158"/>
      <c r="BU94" s="158"/>
      <c r="BV94" s="158"/>
      <c r="BW94" s="158"/>
      <c r="BX94" s="158"/>
      <c r="BY94" s="158"/>
      <c r="BZ94" s="158"/>
      <c r="CA94" s="158"/>
      <c r="CB94" s="158"/>
      <c r="CC94" s="158"/>
      <c r="CD94" s="158"/>
      <c r="CE94" s="158"/>
      <c r="CF94" s="158"/>
      <c r="CG94" s="158"/>
      <c r="CH94" s="158"/>
      <c r="CI94" s="158"/>
      <c r="CJ94" s="158"/>
      <c r="CK94" s="158"/>
      <c r="CL94" s="158"/>
      <c r="CM94" s="158"/>
      <c r="CN94" s="158"/>
      <c r="CO94" s="158"/>
      <c r="CP94" s="158"/>
      <c r="CQ94" s="158"/>
      <c r="CR94" s="158"/>
      <c r="CS94" s="158"/>
      <c r="CT94" s="158"/>
    </row>
    <row r="95" spans="1:98" s="93" customFormat="1" ht="11.25" customHeight="1">
      <c r="A95" s="10"/>
      <c r="B95" s="112" t="s">
        <v>580</v>
      </c>
      <c r="C95" s="657" t="s">
        <v>581</v>
      </c>
      <c r="D95" s="538">
        <v>1.62</v>
      </c>
      <c r="E95" s="287"/>
      <c r="F95" s="54"/>
      <c r="G95" s="282"/>
      <c r="H95" s="35"/>
      <c r="I95" s="35"/>
      <c r="J95" s="279"/>
      <c r="K95" s="270"/>
      <c r="L95" s="736"/>
      <c r="M95" s="288"/>
      <c r="N95" s="99"/>
      <c r="O95" s="10" t="s">
        <v>163</v>
      </c>
      <c r="P95" s="148">
        <v>362.8</v>
      </c>
      <c r="Q95" s="148">
        <v>594.6</v>
      </c>
      <c r="R95" s="148">
        <v>723.9</v>
      </c>
      <c r="S95" s="148">
        <v>576.4</v>
      </c>
      <c r="AH95" s="158"/>
      <c r="AI95" s="158"/>
      <c r="AJ95" s="158"/>
      <c r="AK95" s="158"/>
      <c r="AL95" s="158"/>
      <c r="AM95" s="158"/>
      <c r="AN95" s="158"/>
      <c r="AO95" s="158"/>
      <c r="AP95" s="158"/>
      <c r="AQ95" s="158"/>
      <c r="AR95" s="158"/>
      <c r="AS95" s="158"/>
      <c r="AT95" s="158"/>
      <c r="AU95" s="158"/>
      <c r="AV95" s="158"/>
      <c r="AW95" s="158"/>
      <c r="AX95" s="158"/>
      <c r="AY95" s="158"/>
      <c r="AZ95" s="158"/>
      <c r="BA95" s="158"/>
      <c r="BB95" s="158"/>
      <c r="BC95" s="158"/>
      <c r="BD95" s="158"/>
      <c r="BE95" s="158"/>
      <c r="BF95" s="158"/>
      <c r="BG95" s="158"/>
      <c r="BH95" s="158"/>
      <c r="BI95" s="158"/>
      <c r="BJ95" s="158"/>
      <c r="BK95" s="158"/>
      <c r="BL95" s="158"/>
      <c r="BM95" s="158"/>
      <c r="BN95" s="158"/>
      <c r="BO95" s="158"/>
      <c r="BP95" s="158"/>
      <c r="BQ95" s="158"/>
      <c r="BR95" s="158"/>
      <c r="BS95" s="158"/>
      <c r="BT95" s="158"/>
      <c r="BU95" s="158"/>
      <c r="BV95" s="158"/>
      <c r="BW95" s="158"/>
      <c r="BX95" s="158"/>
      <c r="BY95" s="158"/>
      <c r="BZ95" s="158"/>
      <c r="CA95" s="158"/>
      <c r="CB95" s="158"/>
      <c r="CC95" s="158"/>
      <c r="CD95" s="158"/>
      <c r="CE95" s="158"/>
      <c r="CF95" s="158"/>
      <c r="CG95" s="158"/>
      <c r="CH95" s="158"/>
      <c r="CI95" s="158"/>
      <c r="CJ95" s="158"/>
      <c r="CK95" s="158"/>
      <c r="CL95" s="158"/>
      <c r="CM95" s="158"/>
      <c r="CN95" s="158"/>
      <c r="CO95" s="158"/>
      <c r="CP95" s="158"/>
      <c r="CQ95" s="158"/>
      <c r="CR95" s="158"/>
      <c r="CS95" s="158"/>
      <c r="CT95" s="158"/>
    </row>
    <row r="96" spans="1:98" s="93" customFormat="1" ht="11.25" customHeight="1">
      <c r="A96" s="10"/>
      <c r="B96" s="112" t="s">
        <v>578</v>
      </c>
      <c r="C96" s="657" t="s">
        <v>579</v>
      </c>
      <c r="D96" s="658">
        <f>D95*C32/2/3600</f>
        <v>0.09675</v>
      </c>
      <c r="E96" s="287"/>
      <c r="F96" s="293" t="s">
        <v>172</v>
      </c>
      <c r="G96" s="294"/>
      <c r="H96" s="295"/>
      <c r="I96" s="295"/>
      <c r="J96" s="296"/>
      <c r="K96" s="297"/>
      <c r="L96" s="743"/>
      <c r="M96" s="288"/>
      <c r="N96" s="99"/>
      <c r="AH96" s="158"/>
      <c r="AI96" s="158"/>
      <c r="AJ96" s="158"/>
      <c r="AK96" s="158"/>
      <c r="AL96" s="158"/>
      <c r="AM96" s="158"/>
      <c r="AN96" s="158"/>
      <c r="AO96" s="158"/>
      <c r="AP96" s="158"/>
      <c r="AQ96" s="158"/>
      <c r="AR96" s="158"/>
      <c r="AS96" s="158"/>
      <c r="AT96" s="158"/>
      <c r="AU96" s="158"/>
      <c r="AV96" s="158"/>
      <c r="AW96" s="158"/>
      <c r="AX96" s="158"/>
      <c r="AY96" s="158"/>
      <c r="AZ96" s="158"/>
      <c r="BA96" s="158"/>
      <c r="BB96" s="158"/>
      <c r="BC96" s="158"/>
      <c r="BD96" s="158"/>
      <c r="BE96" s="158"/>
      <c r="BF96" s="158"/>
      <c r="BG96" s="158"/>
      <c r="BH96" s="158"/>
      <c r="BI96" s="158"/>
      <c r="BJ96" s="158"/>
      <c r="BK96" s="158"/>
      <c r="BL96" s="158"/>
      <c r="BM96" s="158"/>
      <c r="BN96" s="158"/>
      <c r="BO96" s="158"/>
      <c r="BP96" s="158"/>
      <c r="BQ96" s="158"/>
      <c r="BR96" s="158"/>
      <c r="BS96" s="158"/>
      <c r="BT96" s="158"/>
      <c r="BU96" s="158"/>
      <c r="BV96" s="158"/>
      <c r="BW96" s="158"/>
      <c r="BX96" s="158"/>
      <c r="BY96" s="158"/>
      <c r="BZ96" s="158"/>
      <c r="CA96" s="158"/>
      <c r="CB96" s="158"/>
      <c r="CC96" s="158"/>
      <c r="CD96" s="158"/>
      <c r="CE96" s="158"/>
      <c r="CF96" s="158"/>
      <c r="CG96" s="158"/>
      <c r="CH96" s="158"/>
      <c r="CI96" s="158"/>
      <c r="CJ96" s="158"/>
      <c r="CK96" s="158"/>
      <c r="CL96" s="158"/>
      <c r="CM96" s="158"/>
      <c r="CN96" s="158"/>
      <c r="CO96" s="158"/>
      <c r="CP96" s="158"/>
      <c r="CQ96" s="158"/>
      <c r="CR96" s="158"/>
      <c r="CS96" s="158"/>
      <c r="CT96" s="158"/>
    </row>
    <row r="97" spans="1:24" s="93" customFormat="1" ht="11.25" customHeight="1">
      <c r="A97" s="108"/>
      <c r="B97" s="107" t="s">
        <v>446</v>
      </c>
      <c r="C97" s="657"/>
      <c r="D97" s="658"/>
      <c r="E97" s="287"/>
      <c r="F97" s="298" t="s">
        <v>170</v>
      </c>
      <c r="G97" s="294" t="s">
        <v>334</v>
      </c>
      <c r="H97" s="295" t="s">
        <v>335</v>
      </c>
      <c r="I97" s="295"/>
      <c r="J97" s="296" t="s">
        <v>701</v>
      </c>
      <c r="K97" s="297"/>
      <c r="L97" s="743">
        <f>C28*8</f>
        <v>1600</v>
      </c>
      <c r="M97" s="288"/>
      <c r="N97" s="99"/>
      <c r="O97" s="10"/>
      <c r="P97" s="10"/>
      <c r="R97" s="10"/>
      <c r="S97" s="10"/>
      <c r="T97" s="10"/>
      <c r="U97" s="10"/>
      <c r="V97" s="10"/>
      <c r="X97" s="10"/>
    </row>
    <row r="98" spans="1:33" s="93" customFormat="1" ht="11.25" customHeight="1">
      <c r="A98" s="108"/>
      <c r="B98" s="34" t="s">
        <v>594</v>
      </c>
      <c r="C98" s="657" t="s">
        <v>593</v>
      </c>
      <c r="D98" s="791">
        <f>0.05*365*D61</f>
        <v>73</v>
      </c>
      <c r="E98" s="287"/>
      <c r="F98" s="298" t="s">
        <v>164</v>
      </c>
      <c r="G98" s="294"/>
      <c r="H98" s="295" t="s">
        <v>212</v>
      </c>
      <c r="I98" s="295"/>
      <c r="J98" s="296"/>
      <c r="K98" s="297"/>
      <c r="L98" s="743">
        <f>0.7*(L88+L89)</f>
        <v>3500</v>
      </c>
      <c r="M98" s="299"/>
      <c r="N98" s="828"/>
      <c r="O98" s="10"/>
      <c r="P98" s="10"/>
      <c r="Q98" s="10"/>
      <c r="R98" s="10"/>
      <c r="S98" s="10"/>
      <c r="T98" s="10"/>
      <c r="U98" s="10"/>
      <c r="V98" s="10"/>
      <c r="Y98" s="277" t="s">
        <v>19</v>
      </c>
      <c r="Z98" s="25"/>
      <c r="AA98" s="25"/>
      <c r="AB98" s="25"/>
      <c r="AC98" s="300"/>
      <c r="AD98" s="300"/>
      <c r="AE98" s="300"/>
      <c r="AF98" s="25" t="s">
        <v>279</v>
      </c>
      <c r="AG98" s="278" t="s">
        <v>224</v>
      </c>
    </row>
    <row r="99" spans="1:22" s="93" customFormat="1" ht="11.25" customHeight="1">
      <c r="A99" s="108"/>
      <c r="B99" s="34" t="s">
        <v>651</v>
      </c>
      <c r="C99" s="657" t="s">
        <v>593</v>
      </c>
      <c r="D99" s="791">
        <f>0.05*365*D62</f>
        <v>54.75</v>
      </c>
      <c r="E99" s="287"/>
      <c r="F99" s="298" t="s">
        <v>263</v>
      </c>
      <c r="G99" s="294"/>
      <c r="H99" s="295" t="s">
        <v>211</v>
      </c>
      <c r="I99" s="295"/>
      <c r="J99" s="296"/>
      <c r="K99" s="297"/>
      <c r="L99" s="743">
        <f>0.3*L85+0.5*(L91+L92+L90)</f>
        <v>2777.4269999999997</v>
      </c>
      <c r="M99" s="288"/>
      <c r="N99" s="135"/>
      <c r="O99" s="10"/>
      <c r="P99" s="10" t="s">
        <v>54</v>
      </c>
      <c r="Q99" s="10"/>
      <c r="R99" s="276" t="s">
        <v>265</v>
      </c>
      <c r="S99" s="158"/>
      <c r="U99" s="10"/>
      <c r="V99" s="10"/>
    </row>
    <row r="100" spans="1:33" s="93" customFormat="1" ht="11.25" customHeight="1">
      <c r="A100" s="108"/>
      <c r="B100" s="10" t="s">
        <v>592</v>
      </c>
      <c r="C100" s="657" t="s">
        <v>595</v>
      </c>
      <c r="D100" s="538">
        <v>0.34</v>
      </c>
      <c r="E100" s="287" t="s">
        <v>665</v>
      </c>
      <c r="F100" s="298" t="s">
        <v>171</v>
      </c>
      <c r="G100" s="294" t="s">
        <v>173</v>
      </c>
      <c r="H100" s="295" t="s">
        <v>264</v>
      </c>
      <c r="I100" s="295"/>
      <c r="J100" s="296"/>
      <c r="K100" s="297"/>
      <c r="L100" s="743">
        <f>32*C28</f>
        <v>6400</v>
      </c>
      <c r="M100" s="288"/>
      <c r="N100" s="265"/>
      <c r="O100" s="195"/>
      <c r="P100" s="836" t="s">
        <v>544</v>
      </c>
      <c r="Q100" s="195"/>
      <c r="R100" s="158" t="s">
        <v>215</v>
      </c>
      <c r="S100" s="158" t="s">
        <v>219</v>
      </c>
      <c r="T100" s="158" t="s">
        <v>218</v>
      </c>
      <c r="U100" s="158" t="s">
        <v>221</v>
      </c>
      <c r="V100" s="195"/>
      <c r="W100" s="158"/>
      <c r="Y100" s="166" t="s">
        <v>529</v>
      </c>
      <c r="Z100" s="13"/>
      <c r="AA100" s="13"/>
      <c r="AB100" s="13"/>
      <c r="AC100" s="754">
        <f>D107</f>
        <v>1</v>
      </c>
      <c r="AD100" s="97"/>
      <c r="AE100" s="97"/>
      <c r="AF100" s="239"/>
      <c r="AG100" s="97"/>
    </row>
    <row r="101" spans="1:33" s="93" customFormat="1" ht="11.25" customHeight="1">
      <c r="A101" s="108"/>
      <c r="B101" s="816" t="s">
        <v>606</v>
      </c>
      <c r="C101" s="657"/>
      <c r="D101" s="658"/>
      <c r="E101" s="301"/>
      <c r="F101" s="833" t="s">
        <v>202</v>
      </c>
      <c r="G101" s="302"/>
      <c r="H101" s="228"/>
      <c r="I101" s="224"/>
      <c r="K101" s="303"/>
      <c r="L101" s="304"/>
      <c r="M101" s="303"/>
      <c r="N101" s="60"/>
      <c r="O101" s="195"/>
      <c r="P101" s="195" t="s">
        <v>196</v>
      </c>
      <c r="Q101" s="195"/>
      <c r="R101" s="280" t="s">
        <v>216</v>
      </c>
      <c r="S101" s="280" t="s">
        <v>217</v>
      </c>
      <c r="T101" s="158" t="s">
        <v>220</v>
      </c>
      <c r="U101" s="280" t="s">
        <v>222</v>
      </c>
      <c r="V101" s="195"/>
      <c r="W101" s="158"/>
      <c r="Y101" s="13"/>
      <c r="Z101" s="13" t="s">
        <v>256</v>
      </c>
      <c r="AA101" s="13"/>
      <c r="AB101" s="13"/>
      <c r="AC101" s="97"/>
      <c r="AD101" s="97">
        <f>AD92/AC100</f>
        <v>15932.63485387528</v>
      </c>
      <c r="AE101" s="97">
        <f>AD101/C28</f>
        <v>79.6631742693764</v>
      </c>
      <c r="AF101" s="239">
        <f>AF58</f>
        <v>0.10995525162591607</v>
      </c>
      <c r="AG101" s="97">
        <f>AD101*AF101</f>
        <v>1751.876874421697</v>
      </c>
    </row>
    <row r="102" spans="1:33" s="203" customFormat="1" ht="11.25" customHeight="1">
      <c r="A102" s="108"/>
      <c r="B102" s="817" t="s">
        <v>611</v>
      </c>
      <c r="C102" s="803" t="s">
        <v>705</v>
      </c>
      <c r="D102" s="534"/>
      <c r="E102" s="287"/>
      <c r="F102" s="90"/>
      <c r="G102" s="744"/>
      <c r="H102" s="228"/>
      <c r="I102" s="224"/>
      <c r="K102" s="745"/>
      <c r="L102" s="746"/>
      <c r="M102" s="745"/>
      <c r="N102" s="44"/>
      <c r="O102" s="195"/>
      <c r="P102" s="829"/>
      <c r="Q102" s="829"/>
      <c r="R102" s="158"/>
      <c r="S102" s="158"/>
      <c r="T102" s="158"/>
      <c r="U102" s="158"/>
      <c r="V102" s="195"/>
      <c r="W102" s="815"/>
      <c r="Y102" s="13"/>
      <c r="Z102" s="13" t="s">
        <v>339</v>
      </c>
      <c r="AA102" s="13"/>
      <c r="AB102" s="13"/>
      <c r="AC102" s="97"/>
      <c r="AD102" s="97">
        <f>W31</f>
        <v>10000.000000000002</v>
      </c>
      <c r="AE102" s="97">
        <f>AD102/C28</f>
        <v>50.00000000000001</v>
      </c>
      <c r="AF102" s="239">
        <f>AF101</f>
        <v>0.10995525162591607</v>
      </c>
      <c r="AG102" s="97">
        <f>AD102*AF102</f>
        <v>1099.552516259161</v>
      </c>
    </row>
    <row r="103" spans="1:33" s="93" customFormat="1" ht="11.25" customHeight="1">
      <c r="A103" s="108"/>
      <c r="B103" s="35" t="s">
        <v>673</v>
      </c>
      <c r="C103" s="807" t="s">
        <v>674</v>
      </c>
      <c r="D103" s="534"/>
      <c r="E103" s="287"/>
      <c r="F103" s="747" t="s">
        <v>8</v>
      </c>
      <c r="G103" s="744"/>
      <c r="H103" s="228"/>
      <c r="I103" s="224"/>
      <c r="K103" s="303"/>
      <c r="L103" s="304"/>
      <c r="M103" s="303"/>
      <c r="N103" s="443"/>
      <c r="O103" s="10" t="s">
        <v>179</v>
      </c>
      <c r="P103" s="98">
        <f>IF(1.2*D92/100*H41/1000*(D93-P18-D90/D92*(D59-P18))*R18&lt;=0,0,1.2*D92/100*H41/1000*(D93-P18-D90/D92*(D59-P18))*R18)</f>
        <v>151.32216000000005</v>
      </c>
      <c r="Q103" s="10"/>
      <c r="R103" s="93">
        <f>AC18/(S18-P103)</f>
        <v>0.5816870362762301</v>
      </c>
      <c r="S103" s="100">
        <f>D85*C28/((S18-P103)/Q18/R18*1000)</f>
        <v>386.8813749470233</v>
      </c>
      <c r="T103" s="93">
        <f aca="true" t="shared" si="12" ref="T103:T114">1+S103/15</f>
        <v>26.792091663134887</v>
      </c>
      <c r="U103" s="93">
        <f aca="true" t="shared" si="13" ref="U103:U114">(1-R103^T103)/(1-R103^(T103+1))</f>
        <v>0.9999997924905479</v>
      </c>
      <c r="V103" s="10"/>
      <c r="Y103" s="13"/>
      <c r="Z103" s="130" t="s">
        <v>340</v>
      </c>
      <c r="AA103" s="166"/>
      <c r="AB103" s="166"/>
      <c r="AC103" s="136"/>
      <c r="AD103" s="136">
        <f>SUM(AD101:AD102)</f>
        <v>25932.634853875283</v>
      </c>
      <c r="AE103" s="305">
        <f>AD103/C28</f>
        <v>129.6631742693764</v>
      </c>
      <c r="AF103" s="239"/>
      <c r="AG103" s="136">
        <f>SUM(AG101:AG102)</f>
        <v>2851.429390680858</v>
      </c>
    </row>
    <row r="104" spans="1:33" s="93" customFormat="1" ht="11.25" customHeight="1">
      <c r="A104" s="821"/>
      <c r="B104" s="10" t="s">
        <v>80</v>
      </c>
      <c r="C104" s="60" t="s">
        <v>78</v>
      </c>
      <c r="D104" s="540">
        <v>2000</v>
      </c>
      <c r="E104" s="287"/>
      <c r="F104" s="697"/>
      <c r="G104" s="698"/>
      <c r="H104" s="611"/>
      <c r="I104" s="612"/>
      <c r="J104" s="614"/>
      <c r="K104" s="615"/>
      <c r="L104" s="616"/>
      <c r="M104" s="615"/>
      <c r="N104" s="238"/>
      <c r="O104" s="10" t="s">
        <v>180</v>
      </c>
      <c r="P104" s="98">
        <f>IF(1.2*D92/100*H41/1000*(D93-P19-D90/D92*(D59-P19))*R19&lt;=0,0,1.2*D92/100*H41/1000*(D93-P19-D90/D92*(D59-P19))*R19)</f>
        <v>150.54815999999985</v>
      </c>
      <c r="Q104" s="10"/>
      <c r="R104" s="93">
        <f aca="true" t="shared" si="14" ref="R104:R114">AC19/(S19-P104)</f>
        <v>0.684457578142487</v>
      </c>
      <c r="S104" s="100">
        <f>D85*C28/((S19-P104)/Q19/R19*1000)</f>
        <v>387.82637916375523</v>
      </c>
      <c r="T104" s="93">
        <f t="shared" si="12"/>
        <v>26.85509194425035</v>
      </c>
      <c r="U104" s="93">
        <f t="shared" si="13"/>
        <v>0.9999880522781927</v>
      </c>
      <c r="V104" s="10"/>
      <c r="Y104" s="166" t="s">
        <v>530</v>
      </c>
      <c r="Z104" s="13"/>
      <c r="AA104" s="13"/>
      <c r="AB104" s="13"/>
      <c r="AC104" s="754">
        <f>D108</f>
        <v>1</v>
      </c>
      <c r="AD104" s="97"/>
      <c r="AE104" s="97"/>
      <c r="AF104" s="239"/>
      <c r="AG104" s="97"/>
    </row>
    <row r="105" spans="1:33" s="93" customFormat="1" ht="11.25" customHeight="1">
      <c r="A105" s="821"/>
      <c r="B105" s="10" t="s">
        <v>81</v>
      </c>
      <c r="C105" s="60" t="s">
        <v>79</v>
      </c>
      <c r="D105" s="544">
        <v>15</v>
      </c>
      <c r="E105" s="287"/>
      <c r="F105" s="697"/>
      <c r="G105" s="699"/>
      <c r="H105" s="611"/>
      <c r="I105" s="612"/>
      <c r="J105" s="614"/>
      <c r="K105" s="615"/>
      <c r="L105" s="616"/>
      <c r="M105" s="615"/>
      <c r="N105" s="238"/>
      <c r="O105" s="10" t="s">
        <v>181</v>
      </c>
      <c r="P105" s="98">
        <f>IF(1.2*D92/100*H41/1000*(D93-P20-D90/D92*(D59-P20))*R20&lt;=0,0,1.2*D92/100*H41/1000*(D93-P20-D90/D92*(D59-P20))*R20)</f>
        <v>74.34940799999997</v>
      </c>
      <c r="Q105" s="10"/>
      <c r="R105" s="93">
        <f t="shared" si="14"/>
        <v>0.9325840326585294</v>
      </c>
      <c r="S105" s="100">
        <f>D85*C28/((S20-P105)/Q20/R20*1000)</f>
        <v>373.99536328225184</v>
      </c>
      <c r="T105" s="93">
        <f t="shared" si="12"/>
        <v>25.93302421881679</v>
      </c>
      <c r="U105" s="93">
        <f t="shared" si="13"/>
        <v>0.9869802986736685</v>
      </c>
      <c r="V105" s="10"/>
      <c r="X105" s="10"/>
      <c r="Y105" s="166"/>
      <c r="Z105" s="13" t="s">
        <v>256</v>
      </c>
      <c r="AA105" s="13"/>
      <c r="AB105" s="13"/>
      <c r="AC105" s="97"/>
      <c r="AD105" s="97">
        <f>AD92/AC104</f>
        <v>15932.63485387528</v>
      </c>
      <c r="AE105" s="98">
        <f>AD105/C28</f>
        <v>79.6631742693764</v>
      </c>
      <c r="AF105" s="239">
        <f>AF67</f>
        <v>0.0696</v>
      </c>
      <c r="AG105" s="97">
        <f>AD105*AF105</f>
        <v>1108.9113858297194</v>
      </c>
    </row>
    <row r="106" spans="1:33" s="93" customFormat="1" ht="11.25" customHeight="1">
      <c r="A106" s="821"/>
      <c r="B106" s="10" t="s">
        <v>82</v>
      </c>
      <c r="C106" s="195" t="s">
        <v>579</v>
      </c>
      <c r="D106" s="544">
        <v>0</v>
      </c>
      <c r="E106" s="287"/>
      <c r="F106" s="697"/>
      <c r="G106" s="699"/>
      <c r="H106" s="611"/>
      <c r="I106" s="612"/>
      <c r="J106" s="614"/>
      <c r="K106" s="615"/>
      <c r="L106" s="616"/>
      <c r="M106" s="615"/>
      <c r="N106" s="238"/>
      <c r="O106" s="10" t="s">
        <v>182</v>
      </c>
      <c r="P106" s="98">
        <f>IF(1.2*D92/100*H41/1000*(D93-P21-D90/D92*(D59-P21))*R21&lt;=0,0,1.2*D92/100*H41/1000*(D93-P21-D90/D92*(D59-P21))*R21)</f>
        <v>46.130400000000044</v>
      </c>
      <c r="Q106" s="10"/>
      <c r="R106" s="93">
        <f t="shared" si="14"/>
        <v>1.2413316056690626</v>
      </c>
      <c r="S106" s="100">
        <f>D85*C28/((S21-P106)/Q21/R21*1000)</f>
        <v>367.24990149286504</v>
      </c>
      <c r="T106" s="93">
        <f t="shared" si="12"/>
        <v>25.483326766191002</v>
      </c>
      <c r="U106" s="93">
        <f t="shared" si="13"/>
        <v>0.8049501810274957</v>
      </c>
      <c r="V106" s="10"/>
      <c r="X106" s="10"/>
      <c r="Y106" s="13"/>
      <c r="Z106" s="13" t="s">
        <v>339</v>
      </c>
      <c r="AA106" s="13"/>
      <c r="AB106" s="13"/>
      <c r="AC106" s="13"/>
      <c r="AD106" s="97">
        <f>W31</f>
        <v>10000.000000000002</v>
      </c>
      <c r="AE106" s="98">
        <f>AD106/C28</f>
        <v>50.00000000000001</v>
      </c>
      <c r="AF106" s="239">
        <f>AF59</f>
        <v>0.13092299999999998</v>
      </c>
      <c r="AG106" s="97">
        <f>AD106*AF106</f>
        <v>1309.23</v>
      </c>
    </row>
    <row r="107" spans="1:33" s="93" customFormat="1" ht="11.25" customHeight="1">
      <c r="A107" s="108"/>
      <c r="B107" s="13" t="s">
        <v>92</v>
      </c>
      <c r="C107" s="226"/>
      <c r="D107" s="793">
        <v>1</v>
      </c>
      <c r="E107" s="287"/>
      <c r="F107" s="697"/>
      <c r="G107" s="699"/>
      <c r="H107" s="611"/>
      <c r="I107" s="612"/>
      <c r="J107" s="614"/>
      <c r="K107" s="615"/>
      <c r="L107" s="616"/>
      <c r="M107" s="615"/>
      <c r="N107" s="238"/>
      <c r="O107" s="10" t="s">
        <v>183</v>
      </c>
      <c r="P107" s="98">
        <f>IF(1.2*D92/100*H41/1000*(D93-P22-D90/D92*(D59-P22))*R22&lt;=0,0,1.2*D92/100*H41/1000*(D93-P22-D90/D92*(D59-P22))*R22)</f>
        <v>0</v>
      </c>
      <c r="Q107" s="10"/>
      <c r="R107" s="93">
        <f t="shared" si="14"/>
        <v>1.5318277480012183</v>
      </c>
      <c r="S107" s="100">
        <f>D85*C28/((S22-P107)/Q22/R22*1000)</f>
        <v>343.58394446142154</v>
      </c>
      <c r="T107" s="93">
        <f t="shared" si="12"/>
        <v>23.9055962974281</v>
      </c>
      <c r="U107" s="93">
        <f t="shared" si="13"/>
        <v>0.6528064457514269</v>
      </c>
      <c r="V107" s="10"/>
      <c r="X107" s="10"/>
      <c r="Y107" s="13"/>
      <c r="Z107" s="130" t="s">
        <v>340</v>
      </c>
      <c r="AA107" s="166"/>
      <c r="AB107" s="166"/>
      <c r="AC107" s="166"/>
      <c r="AD107" s="136">
        <f>AD106+AD105</f>
        <v>25932.634853875283</v>
      </c>
      <c r="AE107" s="305">
        <f>AD107/C28</f>
        <v>129.6631742693764</v>
      </c>
      <c r="AF107" s="239"/>
      <c r="AG107" s="136">
        <f>SUM(AG105:AG106)</f>
        <v>2418.141385829719</v>
      </c>
    </row>
    <row r="108" spans="1:33" s="93" customFormat="1" ht="11.25" customHeight="1">
      <c r="A108" s="108"/>
      <c r="B108" s="13" t="s">
        <v>93</v>
      </c>
      <c r="D108" s="794">
        <v>1</v>
      </c>
      <c r="E108" s="287"/>
      <c r="F108" s="697"/>
      <c r="G108" s="699"/>
      <c r="H108" s="618"/>
      <c r="I108" s="612"/>
      <c r="J108" s="614"/>
      <c r="K108" s="615"/>
      <c r="L108" s="616"/>
      <c r="M108" s="615"/>
      <c r="N108" s="238"/>
      <c r="O108" s="10" t="s">
        <v>184</v>
      </c>
      <c r="P108" s="98">
        <f>IF(1.2*D92/100*H41/1000*(D93-P23-D90/D92*(D59-P23))*R23&lt;=0,0,1.2*D92/100*H41/1000*(D93-P23-D90/D92*(D59-P23))*R23)</f>
        <v>0</v>
      </c>
      <c r="Q108" s="10"/>
      <c r="R108" s="93">
        <f t="shared" si="14"/>
        <v>2.444143292788954</v>
      </c>
      <c r="S108" s="100">
        <f>D85*C28/((S23-P108)/Q23/R23*1000)</f>
        <v>327.05524284745377</v>
      </c>
      <c r="T108" s="93">
        <f t="shared" si="12"/>
        <v>22.803682856496916</v>
      </c>
      <c r="U108" s="93">
        <f t="shared" si="13"/>
        <v>0.40914131430718714</v>
      </c>
      <c r="V108" s="10"/>
      <c r="X108" s="10"/>
      <c r="Y108" s="166" t="s">
        <v>310</v>
      </c>
      <c r="Z108" s="13"/>
      <c r="AA108" s="13"/>
      <c r="AB108" s="13"/>
      <c r="AC108" s="777">
        <f>D109</f>
        <v>4</v>
      </c>
      <c r="AD108" s="97"/>
      <c r="AE108" s="97"/>
      <c r="AF108" s="239"/>
      <c r="AG108" s="97"/>
    </row>
    <row r="109" spans="1:33" s="10" customFormat="1" ht="11.25" customHeight="1">
      <c r="A109" s="108"/>
      <c r="B109" s="13" t="s">
        <v>302</v>
      </c>
      <c r="C109" s="798"/>
      <c r="D109" s="544">
        <v>4</v>
      </c>
      <c r="E109" s="209"/>
      <c r="F109" s="697"/>
      <c r="G109" s="699"/>
      <c r="H109" s="611"/>
      <c r="I109" s="612"/>
      <c r="J109" s="526"/>
      <c r="K109" s="619"/>
      <c r="L109" s="620"/>
      <c r="M109" s="619"/>
      <c r="N109" s="238"/>
      <c r="O109" s="10" t="s">
        <v>185</v>
      </c>
      <c r="P109" s="98">
        <f>IF(1.2*D92/100*H41/1000*(D93-P24-D90/D92*(D59-P24))*R24&lt;=0,0,1.2*D92/100*H41/1000*(D93-P24-D90/D92*(D59-P24))*R24)</f>
        <v>0</v>
      </c>
      <c r="R109" s="93">
        <f t="shared" si="14"/>
        <v>2.393819833042735</v>
      </c>
      <c r="S109" s="100">
        <f>D85*C28/((S24-P109)/Q24/R24*1000)</f>
        <v>331.80335121384735</v>
      </c>
      <c r="T109" s="93">
        <f t="shared" si="12"/>
        <v>23.12022341425649</v>
      </c>
      <c r="U109" s="93">
        <f t="shared" si="13"/>
        <v>0.41774238194355506</v>
      </c>
      <c r="Z109" s="10" t="s">
        <v>256</v>
      </c>
      <c r="AD109" s="98">
        <f>AD92/AC108</f>
        <v>3983.15871346882</v>
      </c>
      <c r="AE109" s="98">
        <f>AD109/C28</f>
        <v>19.9157935673441</v>
      </c>
      <c r="AF109" s="239">
        <f>AF60</f>
        <v>0.12120150263600837</v>
      </c>
      <c r="AG109" s="136">
        <f>AD109*AF109</f>
        <v>482.7648213101309</v>
      </c>
    </row>
    <row r="110" spans="1:33" ht="11.25" customHeight="1">
      <c r="A110" s="108"/>
      <c r="B110" s="802" t="s">
        <v>666</v>
      </c>
      <c r="C110" s="804" t="s">
        <v>664</v>
      </c>
      <c r="D110" s="538"/>
      <c r="E110" s="209"/>
      <c r="F110" s="697"/>
      <c r="G110" s="699"/>
      <c r="H110" s="611"/>
      <c r="I110" s="612"/>
      <c r="J110" s="526"/>
      <c r="K110" s="619"/>
      <c r="L110" s="620"/>
      <c r="M110" s="621"/>
      <c r="N110" s="238"/>
      <c r="O110" s="10" t="s">
        <v>186</v>
      </c>
      <c r="P110" s="98">
        <f>IF(1.2*D92/100*H41/1000*(D93-P25-D90/D92*(D59-P25))*R25&lt;=0,0,1.2*D92/100*H41/1000*(D93-P25-D90/D92*(D59-P25))*R25)</f>
        <v>0</v>
      </c>
      <c r="Q110" s="10"/>
      <c r="R110" s="93">
        <f t="shared" si="14"/>
        <v>2.2927191245236465</v>
      </c>
      <c r="S110" s="100">
        <f>D85*C28/((S25-P110)/Q25/R25*1000)</f>
        <v>335.68735595673604</v>
      </c>
      <c r="T110" s="93">
        <f t="shared" si="12"/>
        <v>23.379157063782404</v>
      </c>
      <c r="U110" s="93">
        <f t="shared" si="13"/>
        <v>0.4361633255391413</v>
      </c>
      <c r="W110" s="208"/>
      <c r="X110" s="10"/>
      <c r="Y110" s="10"/>
      <c r="Z110" s="10" t="s">
        <v>339</v>
      </c>
      <c r="AA110" s="10"/>
      <c r="AB110" s="10"/>
      <c r="AC110" s="10"/>
      <c r="AD110" s="98">
        <f>W31</f>
        <v>10000.000000000002</v>
      </c>
      <c r="AE110" s="98">
        <f>AD110/C28</f>
        <v>50.00000000000001</v>
      </c>
      <c r="AF110" s="239">
        <f>AF109</f>
        <v>0.12120150263600837</v>
      </c>
      <c r="AG110" s="98">
        <f>AD110*AF110</f>
        <v>1212.015026360084</v>
      </c>
    </row>
    <row r="111" spans="1:33" s="10" customFormat="1" ht="11.25" customHeight="1">
      <c r="A111" s="108"/>
      <c r="B111" s="35" t="s">
        <v>76</v>
      </c>
      <c r="C111" s="60" t="s">
        <v>78</v>
      </c>
      <c r="D111" s="544">
        <v>0</v>
      </c>
      <c r="E111" s="209"/>
      <c r="F111" s="697"/>
      <c r="G111" s="699"/>
      <c r="H111" s="611"/>
      <c r="I111" s="612"/>
      <c r="J111" s="526"/>
      <c r="K111" s="619"/>
      <c r="L111" s="620"/>
      <c r="M111" s="619"/>
      <c r="N111" s="238"/>
      <c r="O111" s="10" t="s">
        <v>187</v>
      </c>
      <c r="P111" s="98">
        <f>IF(1.2*D92/100*H41/1000*(D93-P26-D90/D92*(D59-P26))*R26&lt;=0,0,1.2*D92/100*H41/1000*(D93-P26-D90/D92*(D59-P26))*R26)</f>
        <v>0</v>
      </c>
      <c r="R111" s="93">
        <f t="shared" si="14"/>
        <v>1.1890510671838188</v>
      </c>
      <c r="S111" s="100">
        <f>D85*C28/((S26-P111)/Q26/R26*1000)</f>
        <v>355.59006642002174</v>
      </c>
      <c r="T111" s="93">
        <f t="shared" si="12"/>
        <v>24.70600442800145</v>
      </c>
      <c r="U111" s="93">
        <f t="shared" si="13"/>
        <v>0.8391301795587073</v>
      </c>
      <c r="Z111" s="130" t="s">
        <v>340</v>
      </c>
      <c r="AA111" s="130"/>
      <c r="AB111" s="130"/>
      <c r="AC111" s="306"/>
      <c r="AD111" s="306">
        <f>SUM(AD109:AD110)</f>
        <v>13983.158713468822</v>
      </c>
      <c r="AE111" s="307">
        <f>AD111/C28</f>
        <v>69.91579356734411</v>
      </c>
      <c r="AF111" s="239"/>
      <c r="AG111" s="138">
        <f>SUM(AG109:AG110)</f>
        <v>1694.7798476702148</v>
      </c>
    </row>
    <row r="112" spans="1:33" s="10" customFormat="1" ht="11.25" customHeight="1">
      <c r="A112" s="106"/>
      <c r="B112" s="35" t="s">
        <v>77</v>
      </c>
      <c r="C112" s="60" t="s">
        <v>79</v>
      </c>
      <c r="D112" s="544">
        <v>15</v>
      </c>
      <c r="E112" s="209"/>
      <c r="F112" s="700"/>
      <c r="G112" s="699"/>
      <c r="H112" s="611"/>
      <c r="I112" s="612"/>
      <c r="J112" s="526"/>
      <c r="K112" s="619"/>
      <c r="L112" s="620"/>
      <c r="M112" s="619"/>
      <c r="N112" s="238"/>
      <c r="O112" s="10" t="s">
        <v>188</v>
      </c>
      <c r="P112" s="98">
        <f>IF(1.2*D92/100*H41/1000*(D93-P27-D90/D92*(D59-P27))*R27&lt;=0,0,1.2*D92/100*H41/1000*(D93-P27-D90/D92*(D59-P27))*R27)</f>
        <v>32.98375200000002</v>
      </c>
      <c r="R112" s="93">
        <f t="shared" si="14"/>
        <v>0.9796186624743104</v>
      </c>
      <c r="S112" s="100">
        <f>D85*C28/((S27-P112)/Q27/R27*1000)</f>
        <v>369.6820555268715</v>
      </c>
      <c r="T112" s="93">
        <f t="shared" si="12"/>
        <v>25.645470368458103</v>
      </c>
      <c r="U112" s="93">
        <f t="shared" si="13"/>
        <v>0.9715372334378319</v>
      </c>
      <c r="AC112" s="98"/>
      <c r="AD112" s="98"/>
      <c r="AE112" s="98"/>
      <c r="AF112" s="98"/>
      <c r="AG112" s="98"/>
    </row>
    <row r="113" spans="1:33" s="13" customFormat="1" ht="11.25" customHeight="1">
      <c r="A113" s="108"/>
      <c r="B113" s="35" t="s">
        <v>75</v>
      </c>
      <c r="C113" s="797" t="s">
        <v>579</v>
      </c>
      <c r="D113" s="544">
        <v>0</v>
      </c>
      <c r="E113" s="209"/>
      <c r="F113" s="700"/>
      <c r="G113" s="699"/>
      <c r="H113" s="611"/>
      <c r="I113" s="612"/>
      <c r="J113" s="624"/>
      <c r="K113" s="625"/>
      <c r="L113" s="626"/>
      <c r="M113" s="625"/>
      <c r="N113" s="238"/>
      <c r="O113" s="10" t="s">
        <v>189</v>
      </c>
      <c r="P113" s="98">
        <f>IF(1.2*D92/100*H41/1000*(D93-P28-D90/D92*(D59-P28))*R28&lt;=0,0,1.2*D92/100*H41/1000*(D93-P28-D90/D92*(D59-P28))*R28)</f>
        <v>53.46792000000009</v>
      </c>
      <c r="Q113" s="10"/>
      <c r="R113" s="93">
        <f t="shared" si="14"/>
        <v>0.8255619329144146</v>
      </c>
      <c r="S113" s="100">
        <f>D85*C28/((S28-P113)/Q28/R28*1000)</f>
        <v>374.81437227070387</v>
      </c>
      <c r="T113" s="93">
        <f t="shared" si="12"/>
        <v>25.987624818046925</v>
      </c>
      <c r="U113" s="93">
        <f t="shared" si="13"/>
        <v>0.9987959893686723</v>
      </c>
      <c r="V113" s="10"/>
      <c r="W113" s="10"/>
      <c r="X113" s="10"/>
      <c r="Y113" s="10"/>
      <c r="Z113" s="10" t="s">
        <v>313</v>
      </c>
      <c r="AA113" s="10"/>
      <c r="AB113" s="10"/>
      <c r="AC113" s="98"/>
      <c r="AD113" s="98">
        <f>AD84/4</f>
        <v>2168.63621346882</v>
      </c>
      <c r="AE113" s="97">
        <f>AD113/C28</f>
        <v>10.843181067344101</v>
      </c>
      <c r="AF113" s="194">
        <f>AF109</f>
        <v>0.12120150263600837</v>
      </c>
      <c r="AG113" s="98">
        <f>AD113*AF113</f>
        <v>262.84196774328444</v>
      </c>
    </row>
    <row r="114" spans="1:33" s="13" customFormat="1" ht="11.25" customHeight="1">
      <c r="A114" s="108"/>
      <c r="B114" s="34" t="s">
        <v>608</v>
      </c>
      <c r="C114" s="532" t="s">
        <v>607</v>
      </c>
      <c r="D114" s="834"/>
      <c r="E114" s="209"/>
      <c r="F114" s="700"/>
      <c r="G114" s="699"/>
      <c r="H114" s="611"/>
      <c r="I114" s="612"/>
      <c r="J114" s="627"/>
      <c r="K114" s="625"/>
      <c r="L114" s="626"/>
      <c r="M114" s="625"/>
      <c r="N114" s="238"/>
      <c r="O114" s="10" t="s">
        <v>190</v>
      </c>
      <c r="P114" s="98">
        <f>IF(1.2*D92/100*H41/1000*(D93-P29-D90/D92*(D59-P29))*R29&lt;=0,0,1.2*D92/100*H41/1000*(D93-P29-D90/D92*(D59-P29))*R29)</f>
        <v>115.81104000000012</v>
      </c>
      <c r="Q114" s="10"/>
      <c r="R114" s="93">
        <f t="shared" si="14"/>
        <v>0.6354311787622385</v>
      </c>
      <c r="S114" s="100">
        <f>D85*C28/((S29-P114)/Q29/R29*1000)</f>
        <v>384.0565595552653</v>
      </c>
      <c r="T114" s="93">
        <f t="shared" si="12"/>
        <v>26.60377063701769</v>
      </c>
      <c r="U114" s="93">
        <f t="shared" si="13"/>
        <v>0.9999978978620838</v>
      </c>
      <c r="V114" s="10"/>
      <c r="W114" s="10"/>
      <c r="X114" s="10"/>
      <c r="Y114" s="247"/>
      <c r="Z114" s="10" t="s">
        <v>348</v>
      </c>
      <c r="AA114" s="10"/>
      <c r="AB114" s="10"/>
      <c r="AC114" s="98"/>
      <c r="AD114" s="98">
        <f>AD90/4</f>
        <v>1814.5225</v>
      </c>
      <c r="AE114" s="98">
        <f>AD114/C28</f>
        <v>9.0726125</v>
      </c>
      <c r="AF114" s="194">
        <f>AF109</f>
        <v>0.12120150263600837</v>
      </c>
      <c r="AG114" s="98">
        <f>AD114*AF114</f>
        <v>219.9228535668465</v>
      </c>
    </row>
    <row r="115" spans="1:33" s="13" customFormat="1" ht="11.25" customHeight="1">
      <c r="A115" s="822"/>
      <c r="B115" s="816" t="s">
        <v>609</v>
      </c>
      <c r="C115" s="657"/>
      <c r="D115" s="835"/>
      <c r="E115" s="215"/>
      <c r="F115" s="619"/>
      <c r="G115" s="701"/>
      <c r="H115" s="530"/>
      <c r="I115" s="530"/>
      <c r="J115" s="530"/>
      <c r="K115" s="619"/>
      <c r="L115" s="620"/>
      <c r="M115" s="619"/>
      <c r="N115" s="238"/>
      <c r="O115" s="10"/>
      <c r="P115" s="98"/>
      <c r="Q115" s="10"/>
      <c r="R115" s="93"/>
      <c r="S115" s="100"/>
      <c r="T115" s="93"/>
      <c r="U115" s="93"/>
      <c r="V115" s="10"/>
      <c r="W115" s="10"/>
      <c r="X115" s="10"/>
      <c r="Y115" s="10"/>
      <c r="Z115" s="10"/>
      <c r="AA115" s="10"/>
      <c r="AB115" s="10"/>
      <c r="AC115" s="10"/>
      <c r="AD115" s="10"/>
      <c r="AE115" s="10"/>
      <c r="AF115" s="10"/>
      <c r="AG115" s="10"/>
    </row>
    <row r="116" spans="1:33" s="311" customFormat="1" ht="11.25" customHeight="1">
      <c r="A116" s="108"/>
      <c r="B116" s="818" t="s">
        <v>610</v>
      </c>
      <c r="C116" s="806" t="s">
        <v>612</v>
      </c>
      <c r="D116" s="544"/>
      <c r="E116" s="309"/>
      <c r="F116" s="629"/>
      <c r="G116" s="702"/>
      <c r="H116" s="631"/>
      <c r="I116" s="632"/>
      <c r="J116" s="632"/>
      <c r="K116" s="619"/>
      <c r="L116" s="620"/>
      <c r="M116" s="633"/>
      <c r="N116" s="135"/>
      <c r="O116" s="10" t="s">
        <v>163</v>
      </c>
      <c r="P116" s="98">
        <f>SUM(P103:P115)</f>
        <v>624.6128400000002</v>
      </c>
      <c r="Q116" s="10"/>
      <c r="R116" s="93"/>
      <c r="S116" s="100"/>
      <c r="T116" s="93"/>
      <c r="U116" s="93"/>
      <c r="V116" s="10"/>
      <c r="W116" s="10"/>
      <c r="X116" s="10"/>
      <c r="Y116" s="13"/>
      <c r="Z116" s="13"/>
      <c r="AA116" s="13"/>
      <c r="AB116" s="13"/>
      <c r="AC116" s="13"/>
      <c r="AD116" s="13"/>
      <c r="AE116" s="13"/>
      <c r="AF116" s="13"/>
      <c r="AG116" s="13"/>
    </row>
    <row r="117" spans="1:33" s="311" customFormat="1" ht="11.25" customHeight="1">
      <c r="A117" s="108"/>
      <c r="B117" s="34" t="s">
        <v>97</v>
      </c>
      <c r="C117" s="545"/>
      <c r="D117" s="544"/>
      <c r="E117" s="309"/>
      <c r="F117" s="629"/>
      <c r="G117" s="702"/>
      <c r="H117" s="631"/>
      <c r="I117" s="632"/>
      <c r="J117" s="632"/>
      <c r="K117" s="619"/>
      <c r="L117" s="620"/>
      <c r="M117" s="633"/>
      <c r="N117" s="135"/>
      <c r="O117" s="208"/>
      <c r="P117" s="10"/>
      <c r="Q117" s="10"/>
      <c r="R117" s="10"/>
      <c r="S117" s="10"/>
      <c r="T117" s="10"/>
      <c r="U117" s="10"/>
      <c r="V117" s="10"/>
      <c r="W117" s="10"/>
      <c r="X117" s="10"/>
      <c r="Y117" s="13"/>
      <c r="Z117" s="166" t="s">
        <v>315</v>
      </c>
      <c r="AA117" s="166"/>
      <c r="AB117" s="195"/>
      <c r="AC117" s="195" t="s">
        <v>163</v>
      </c>
      <c r="AD117" s="195"/>
      <c r="AE117" s="195"/>
      <c r="AF117" s="195" t="s">
        <v>333</v>
      </c>
      <c r="AG117" s="195"/>
    </row>
    <row r="118" spans="1:33" s="311" customFormat="1" ht="11.25" customHeight="1">
      <c r="A118" s="108"/>
      <c r="B118" s="34"/>
      <c r="C118" s="657"/>
      <c r="D118" s="658"/>
      <c r="E118" s="309"/>
      <c r="F118" s="629"/>
      <c r="G118" s="703"/>
      <c r="H118" s="631"/>
      <c r="I118" s="530"/>
      <c r="J118" s="634"/>
      <c r="K118" s="635"/>
      <c r="L118" s="636"/>
      <c r="M118" s="635"/>
      <c r="N118" s="812"/>
      <c r="O118" s="208"/>
      <c r="P118" s="813"/>
      <c r="Q118" s="813"/>
      <c r="R118" s="813"/>
      <c r="S118" s="813"/>
      <c r="T118" s="813"/>
      <c r="U118" s="813"/>
      <c r="V118" s="813"/>
      <c r="W118" s="10"/>
      <c r="X118" s="10"/>
      <c r="Y118" s="13"/>
      <c r="Z118" s="229"/>
      <c r="AA118" s="229"/>
      <c r="AB118" s="313" t="s">
        <v>307</v>
      </c>
      <c r="AC118" s="313" t="s">
        <v>308</v>
      </c>
      <c r="AD118" s="314" t="s">
        <v>309</v>
      </c>
      <c r="AE118" s="313" t="s">
        <v>307</v>
      </c>
      <c r="AF118" s="313" t="s">
        <v>308</v>
      </c>
      <c r="AG118" s="314" t="s">
        <v>309</v>
      </c>
    </row>
    <row r="119" spans="1:33" s="311" customFormat="1" ht="11.25" customHeight="1">
      <c r="A119" s="108"/>
      <c r="B119" s="753" t="s">
        <v>9</v>
      </c>
      <c r="C119" s="657"/>
      <c r="D119" s="658"/>
      <c r="E119" s="309"/>
      <c r="F119" s="629"/>
      <c r="G119" s="703"/>
      <c r="H119" s="631"/>
      <c r="I119" s="530"/>
      <c r="J119" s="634"/>
      <c r="K119" s="635"/>
      <c r="L119" s="636"/>
      <c r="M119" s="635"/>
      <c r="N119" s="812"/>
      <c r="O119" s="208"/>
      <c r="P119" s="10"/>
      <c r="Q119" s="10"/>
      <c r="R119" s="10"/>
      <c r="S119" s="308"/>
      <c r="T119" s="10"/>
      <c r="U119" s="10"/>
      <c r="V119" s="10"/>
      <c r="W119" s="10"/>
      <c r="X119" s="93"/>
      <c r="Y119" s="10"/>
      <c r="Z119" s="13" t="s">
        <v>528</v>
      </c>
      <c r="AA119" s="13"/>
      <c r="AB119" s="311">
        <f>AG101/12</f>
        <v>145.9897395351414</v>
      </c>
      <c r="AC119" s="13">
        <f>AG105/12</f>
        <v>92.40928215247662</v>
      </c>
      <c r="AD119" s="25">
        <f>AG109/12</f>
        <v>40.23040177584424</v>
      </c>
      <c r="AE119" s="13">
        <f>AB119/C29</f>
        <v>0.9124358720946338</v>
      </c>
      <c r="AF119" s="13">
        <f>AC119/C29</f>
        <v>0.5775580134529789</v>
      </c>
      <c r="AG119" s="315">
        <f>AD119/C29</f>
        <v>0.25144001109902653</v>
      </c>
    </row>
    <row r="120" spans="1:33" s="311" customFormat="1" ht="11.25" customHeight="1">
      <c r="A120" s="823"/>
      <c r="B120" s="629"/>
      <c r="C120" s="546"/>
      <c r="D120" s="547"/>
      <c r="E120" s="309"/>
      <c r="F120" s="629"/>
      <c r="G120" s="703"/>
      <c r="H120" s="631"/>
      <c r="I120" s="530"/>
      <c r="J120" s="634"/>
      <c r="K120" s="635"/>
      <c r="L120" s="636"/>
      <c r="M120" s="635"/>
      <c r="N120" s="812"/>
      <c r="O120" s="208"/>
      <c r="P120" s="10"/>
      <c r="Q120" s="10"/>
      <c r="R120" s="10"/>
      <c r="S120" s="308"/>
      <c r="T120" s="10"/>
      <c r="U120" s="10"/>
      <c r="V120" s="10"/>
      <c r="W120" s="10"/>
      <c r="X120" s="93"/>
      <c r="Y120" s="10"/>
      <c r="Z120" s="13" t="s">
        <v>296</v>
      </c>
      <c r="AA120" s="13"/>
      <c r="AB120" s="311">
        <f>AG102/12</f>
        <v>91.62937635493007</v>
      </c>
      <c r="AC120" s="311">
        <f>AG106/12</f>
        <v>109.1025</v>
      </c>
      <c r="AD120" s="25">
        <f>AG110/12</f>
        <v>101.00125219667366</v>
      </c>
      <c r="AE120" s="13">
        <f>AB120/C29</f>
        <v>0.5726836022183129</v>
      </c>
      <c r="AF120" s="13">
        <f>AC120/C29</f>
        <v>0.6818906250000001</v>
      </c>
      <c r="AG120" s="315">
        <f>AD120/C29</f>
        <v>0.6312578262292103</v>
      </c>
    </row>
    <row r="121" spans="1:33" s="311" customFormat="1" ht="11.25" customHeight="1">
      <c r="A121" s="823"/>
      <c r="B121" s="819"/>
      <c r="C121" s="528"/>
      <c r="D121" s="534"/>
      <c r="E121" s="110"/>
      <c r="F121" s="629"/>
      <c r="G121" s="703"/>
      <c r="H121" s="631"/>
      <c r="I121" s="530"/>
      <c r="J121" s="634"/>
      <c r="K121" s="635"/>
      <c r="L121" s="638"/>
      <c r="M121" s="635"/>
      <c r="N121" s="812"/>
      <c r="O121" s="208"/>
      <c r="P121" s="813"/>
      <c r="Q121" s="813"/>
      <c r="R121" s="813"/>
      <c r="S121" s="505"/>
      <c r="T121" s="813"/>
      <c r="U121" s="813"/>
      <c r="V121" s="813"/>
      <c r="W121" s="10"/>
      <c r="X121" s="93"/>
      <c r="Y121" s="10"/>
      <c r="Z121" s="13" t="s">
        <v>163</v>
      </c>
      <c r="AA121" s="13"/>
      <c r="AB121" s="311">
        <f aca="true" t="shared" si="15" ref="AB121:AG121">SUM(AB119:AB120)</f>
        <v>237.6191158900715</v>
      </c>
      <c r="AC121" s="311">
        <f t="shared" si="15"/>
        <v>201.51178215247663</v>
      </c>
      <c r="AD121" s="25">
        <f t="shared" si="15"/>
        <v>141.2316539725179</v>
      </c>
      <c r="AE121" s="13">
        <f t="shared" si="15"/>
        <v>1.4851194743129468</v>
      </c>
      <c r="AF121" s="13">
        <f t="shared" si="15"/>
        <v>1.2594486384529788</v>
      </c>
      <c r="AG121" s="315">
        <f t="shared" si="15"/>
        <v>0.8826978373282368</v>
      </c>
    </row>
    <row r="122" spans="1:24" s="311" customFormat="1" ht="11.25" customHeight="1">
      <c r="A122" s="824"/>
      <c r="B122" s="637"/>
      <c r="C122" s="809"/>
      <c r="D122" s="825"/>
      <c r="E122" s="242"/>
      <c r="F122" s="629"/>
      <c r="G122" s="703"/>
      <c r="H122" s="631"/>
      <c r="I122" s="530"/>
      <c r="J122" s="634"/>
      <c r="K122" s="639"/>
      <c r="L122" s="638"/>
      <c r="M122" s="704"/>
      <c r="N122" s="812"/>
      <c r="O122" s="208"/>
      <c r="P122" s="814"/>
      <c r="Q122" s="308"/>
      <c r="R122" s="308"/>
      <c r="S122" s="308"/>
      <c r="T122" s="130"/>
      <c r="U122" s="130"/>
      <c r="V122" s="10"/>
      <c r="W122" s="10"/>
      <c r="X122" s="203"/>
    </row>
    <row r="123" spans="1:24" s="311" customFormat="1" ht="11.25" customHeight="1">
      <c r="A123" s="823"/>
      <c r="B123" s="819"/>
      <c r="C123" s="528"/>
      <c r="D123" s="534"/>
      <c r="E123" s="242"/>
      <c r="F123" s="629"/>
      <c r="G123" s="703"/>
      <c r="H123" s="631"/>
      <c r="I123" s="530"/>
      <c r="J123" s="637"/>
      <c r="K123" s="639"/>
      <c r="L123" s="638"/>
      <c r="M123" s="704"/>
      <c r="N123" s="812"/>
      <c r="O123" s="208"/>
      <c r="P123" s="308"/>
      <c r="Q123" s="308"/>
      <c r="R123" s="308"/>
      <c r="S123" s="308"/>
      <c r="T123" s="308"/>
      <c r="U123" s="10"/>
      <c r="V123" s="10"/>
      <c r="W123" s="10"/>
      <c r="X123" s="93"/>
    </row>
    <row r="124" spans="1:24" s="311" customFormat="1" ht="11.25" customHeight="1">
      <c r="A124" s="823"/>
      <c r="B124" s="819"/>
      <c r="C124" s="528"/>
      <c r="D124" s="534"/>
      <c r="E124" s="242"/>
      <c r="F124" s="629"/>
      <c r="G124" s="703"/>
      <c r="H124" s="631"/>
      <c r="I124" s="530"/>
      <c r="J124" s="637"/>
      <c r="K124" s="639"/>
      <c r="L124" s="638"/>
      <c r="M124" s="704"/>
      <c r="N124" s="812"/>
      <c r="O124" s="208"/>
      <c r="P124" s="10"/>
      <c r="Q124" s="10"/>
      <c r="R124" s="10"/>
      <c r="S124" s="308"/>
      <c r="T124" s="10"/>
      <c r="U124" s="10"/>
      <c r="V124" s="10"/>
      <c r="W124" s="10"/>
      <c r="X124" s="93"/>
    </row>
    <row r="125" spans="1:24" s="311" customFormat="1" ht="11.25" customHeight="1">
      <c r="A125" s="823"/>
      <c r="B125" s="819"/>
      <c r="C125" s="548"/>
      <c r="D125" s="534"/>
      <c r="E125" s="109"/>
      <c r="F125" s="609"/>
      <c r="G125" s="703"/>
      <c r="H125" s="631"/>
      <c r="I125" s="530"/>
      <c r="J125" s="637"/>
      <c r="K125" s="639"/>
      <c r="L125" s="638"/>
      <c r="M125" s="704"/>
      <c r="N125" s="812"/>
      <c r="O125" s="208"/>
      <c r="P125" s="130"/>
      <c r="Q125" s="10"/>
      <c r="R125" s="10"/>
      <c r="S125" s="308"/>
      <c r="T125" s="308"/>
      <c r="U125" s="130"/>
      <c r="V125" s="10"/>
      <c r="W125" s="10"/>
      <c r="X125" s="93"/>
    </row>
    <row r="126" spans="1:24" s="311" customFormat="1" ht="11.25" customHeight="1">
      <c r="A126" s="823"/>
      <c r="B126" s="819"/>
      <c r="C126" s="548"/>
      <c r="D126" s="534"/>
      <c r="E126" s="242"/>
      <c r="F126" s="629"/>
      <c r="G126" s="703"/>
      <c r="H126" s="631"/>
      <c r="I126" s="530"/>
      <c r="J126" s="637"/>
      <c r="K126" s="639"/>
      <c r="L126" s="638"/>
      <c r="M126" s="704"/>
      <c r="N126" s="812"/>
      <c r="O126" s="10"/>
      <c r="P126" s="10"/>
      <c r="Q126" s="10"/>
      <c r="R126" s="10"/>
      <c r="S126" s="10"/>
      <c r="T126" s="10"/>
      <c r="U126" s="10"/>
      <c r="V126" s="10"/>
      <c r="W126" s="308"/>
      <c r="X126" s="93"/>
    </row>
    <row r="127" spans="1:33" s="311" customFormat="1" ht="11.25" customHeight="1">
      <c r="A127" s="823"/>
      <c r="B127" s="819"/>
      <c r="C127" s="548"/>
      <c r="D127" s="534"/>
      <c r="E127" s="242"/>
      <c r="F127" s="629"/>
      <c r="G127" s="703"/>
      <c r="H127" s="631"/>
      <c r="I127" s="530"/>
      <c r="J127" s="637"/>
      <c r="K127" s="639"/>
      <c r="L127" s="638"/>
      <c r="M127" s="704"/>
      <c r="N127" s="812"/>
      <c r="O127" s="10"/>
      <c r="P127" s="10"/>
      <c r="Q127" s="10"/>
      <c r="R127" s="10"/>
      <c r="S127" s="10"/>
      <c r="T127" s="10"/>
      <c r="U127" s="10"/>
      <c r="V127" s="10"/>
      <c r="W127" s="308"/>
      <c r="X127" s="93"/>
      <c r="Z127" s="277" t="s">
        <v>306</v>
      </c>
      <c r="AA127" s="27"/>
      <c r="AB127" s="27"/>
      <c r="AC127" s="27"/>
      <c r="AD127" s="25"/>
      <c r="AE127" s="27"/>
      <c r="AF127" s="27"/>
      <c r="AG127" s="27"/>
    </row>
    <row r="128" spans="1:33" s="311" customFormat="1" ht="11.25" customHeight="1">
      <c r="A128" s="823"/>
      <c r="B128" s="819"/>
      <c r="C128" s="528"/>
      <c r="D128" s="534"/>
      <c r="E128" s="242"/>
      <c r="F128" s="629"/>
      <c r="G128" s="703"/>
      <c r="H128" s="631"/>
      <c r="I128" s="530"/>
      <c r="J128" s="637"/>
      <c r="K128" s="639"/>
      <c r="L128" s="638"/>
      <c r="M128" s="704"/>
      <c r="N128" s="812"/>
      <c r="O128" s="308"/>
      <c r="P128" s="308"/>
      <c r="Q128" s="308"/>
      <c r="R128" s="308"/>
      <c r="S128" s="308"/>
      <c r="T128" s="308"/>
      <c r="U128" s="308"/>
      <c r="V128" s="308"/>
      <c r="W128" s="308"/>
      <c r="X128" s="93"/>
      <c r="Z128" s="13"/>
      <c r="AA128" s="13"/>
      <c r="AB128" s="13"/>
      <c r="AC128" s="13"/>
      <c r="AD128" s="13"/>
      <c r="AE128" s="13"/>
      <c r="AF128" s="13"/>
      <c r="AG128" s="13"/>
    </row>
    <row r="129" spans="1:33" s="311" customFormat="1" ht="11.25" customHeight="1">
      <c r="A129" s="823"/>
      <c r="B129" s="819"/>
      <c r="C129" s="528"/>
      <c r="D129" s="534"/>
      <c r="E129" s="242"/>
      <c r="F129" s="629"/>
      <c r="G129" s="703"/>
      <c r="H129" s="631"/>
      <c r="I129" s="530"/>
      <c r="J129" s="637"/>
      <c r="K129" s="639"/>
      <c r="L129" s="638"/>
      <c r="M129" s="704"/>
      <c r="N129" s="812"/>
      <c r="O129" s="308"/>
      <c r="P129" s="308"/>
      <c r="Q129" s="308"/>
      <c r="R129" s="308"/>
      <c r="S129" s="308"/>
      <c r="T129" s="308"/>
      <c r="U129" s="308"/>
      <c r="V129" s="308"/>
      <c r="W129" s="308"/>
      <c r="X129" s="10"/>
      <c r="Z129" s="195"/>
      <c r="AA129" s="195"/>
      <c r="AB129" s="195"/>
      <c r="AC129" s="195"/>
      <c r="AD129" s="195" t="s">
        <v>281</v>
      </c>
      <c r="AE129" s="195" t="s">
        <v>527</v>
      </c>
      <c r="AF129" s="195" t="s">
        <v>282</v>
      </c>
      <c r="AG129" s="195" t="s">
        <v>94</v>
      </c>
    </row>
    <row r="130" spans="1:33" s="311" customFormat="1" ht="11.25" customHeight="1">
      <c r="A130" s="823"/>
      <c r="B130" s="819"/>
      <c r="C130" s="548"/>
      <c r="D130" s="534"/>
      <c r="E130" s="242"/>
      <c r="F130" s="629"/>
      <c r="G130" s="703"/>
      <c r="H130" s="631"/>
      <c r="I130" s="530"/>
      <c r="J130" s="637"/>
      <c r="K130" s="639"/>
      <c r="L130" s="638"/>
      <c r="M130" s="704"/>
      <c r="N130" s="812"/>
      <c r="O130" s="308"/>
      <c r="P130" s="308"/>
      <c r="Q130" s="308"/>
      <c r="R130" s="308"/>
      <c r="S130" s="308"/>
      <c r="T130" s="308"/>
      <c r="U130" s="308"/>
      <c r="V130" s="308"/>
      <c r="W130" s="308"/>
      <c r="X130" s="308"/>
      <c r="Z130" s="167"/>
      <c r="AA130" s="167"/>
      <c r="AB130" s="167"/>
      <c r="AC130" s="167"/>
      <c r="AD130" s="167" t="s">
        <v>227</v>
      </c>
      <c r="AE130" s="167" t="s">
        <v>227</v>
      </c>
      <c r="AF130" s="167" t="s">
        <v>228</v>
      </c>
      <c r="AG130" s="167" t="s">
        <v>228</v>
      </c>
    </row>
    <row r="131" spans="1:33" s="311" customFormat="1" ht="11.25" customHeight="1">
      <c r="A131" s="823"/>
      <c r="B131" s="819"/>
      <c r="C131" s="548"/>
      <c r="D131" s="534"/>
      <c r="E131" s="242"/>
      <c r="F131" s="629"/>
      <c r="G131" s="703"/>
      <c r="H131" s="631"/>
      <c r="I131" s="530"/>
      <c r="J131" s="637"/>
      <c r="K131" s="639"/>
      <c r="L131" s="638"/>
      <c r="M131" s="704"/>
      <c r="N131" s="812"/>
      <c r="O131" s="308"/>
      <c r="P131" s="308"/>
      <c r="Q131" s="308"/>
      <c r="R131" s="308"/>
      <c r="S131" s="308"/>
      <c r="T131" s="308"/>
      <c r="U131" s="308"/>
      <c r="V131" s="308"/>
      <c r="W131" s="308"/>
      <c r="X131" s="308"/>
      <c r="Z131" s="167"/>
      <c r="AA131" s="167"/>
      <c r="AB131" s="167"/>
      <c r="AC131" s="167"/>
      <c r="AD131" s="167"/>
      <c r="AE131" s="167"/>
      <c r="AF131" s="167"/>
      <c r="AG131" s="167"/>
    </row>
    <row r="132" spans="1:33" s="311" customFormat="1" ht="11.25" customHeight="1">
      <c r="A132" s="823"/>
      <c r="B132" s="819"/>
      <c r="C132" s="528"/>
      <c r="D132" s="534"/>
      <c r="E132" s="316"/>
      <c r="F132" s="629"/>
      <c r="G132" s="703"/>
      <c r="H132" s="631"/>
      <c r="I132" s="530"/>
      <c r="J132" s="637"/>
      <c r="K132" s="639"/>
      <c r="L132" s="638"/>
      <c r="M132" s="704"/>
      <c r="N132" s="812"/>
      <c r="O132" s="308"/>
      <c r="P132" s="308"/>
      <c r="Q132" s="308"/>
      <c r="R132" s="308"/>
      <c r="S132" s="308"/>
      <c r="T132" s="308"/>
      <c r="U132" s="308"/>
      <c r="V132" s="308"/>
      <c r="W132" s="308"/>
      <c r="X132" s="308"/>
      <c r="Z132" s="13" t="s">
        <v>280</v>
      </c>
      <c r="AA132" s="13"/>
      <c r="AB132" s="13"/>
      <c r="AC132" s="13"/>
      <c r="AD132" s="13">
        <f>AD84/C28</f>
        <v>43.372724269376405</v>
      </c>
      <c r="AE132" s="13">
        <f>AD84/C29</f>
        <v>54.2159053367205</v>
      </c>
      <c r="AF132" s="13">
        <f>AD84/C27</f>
        <v>12.571804136051131</v>
      </c>
      <c r="AG132" s="13">
        <f>AD84/C32</f>
        <v>20.17336012529135</v>
      </c>
    </row>
    <row r="133" spans="1:33" s="311" customFormat="1" ht="11.25" customHeight="1">
      <c r="A133" s="823"/>
      <c r="B133" s="819"/>
      <c r="C133" s="548"/>
      <c r="D133" s="534"/>
      <c r="E133" s="316"/>
      <c r="F133" s="629"/>
      <c r="G133" s="703"/>
      <c r="H133" s="631"/>
      <c r="I133" s="530"/>
      <c r="J133" s="637"/>
      <c r="K133" s="639"/>
      <c r="L133" s="638"/>
      <c r="M133" s="704"/>
      <c r="N133" s="812"/>
      <c r="O133" s="308"/>
      <c r="P133" s="308"/>
      <c r="Q133" s="308"/>
      <c r="R133" s="308"/>
      <c r="S133" s="308"/>
      <c r="T133" s="308"/>
      <c r="U133" s="308"/>
      <c r="V133" s="308"/>
      <c r="W133" s="308"/>
      <c r="X133" s="308"/>
      <c r="Z133" s="13" t="s">
        <v>283</v>
      </c>
      <c r="AA133" s="13"/>
      <c r="AB133" s="13"/>
      <c r="AC133" s="13"/>
      <c r="AD133" s="13">
        <f>AD90/C28</f>
        <v>36.29045</v>
      </c>
      <c r="AE133" s="13">
        <f>AD90/C29</f>
        <v>45.3630625</v>
      </c>
      <c r="AF133" s="13">
        <f>AD90/C27</f>
        <v>10.518971014492754</v>
      </c>
      <c r="AG133" s="13">
        <f>AD90/C32</f>
        <v>16.879279069767442</v>
      </c>
    </row>
    <row r="134" spans="1:33" s="311" customFormat="1" ht="11.25" customHeight="1">
      <c r="A134" s="823"/>
      <c r="B134" s="819"/>
      <c r="C134" s="548"/>
      <c r="D134" s="534"/>
      <c r="E134" s="316"/>
      <c r="F134" s="629"/>
      <c r="G134" s="703"/>
      <c r="H134" s="631"/>
      <c r="I134" s="530"/>
      <c r="J134" s="637"/>
      <c r="K134" s="639"/>
      <c r="L134" s="638"/>
      <c r="M134" s="704"/>
      <c r="N134" s="812"/>
      <c r="O134" s="308"/>
      <c r="P134" s="308"/>
      <c r="Q134" s="308"/>
      <c r="R134" s="308"/>
      <c r="S134" s="308"/>
      <c r="T134" s="308"/>
      <c r="U134" s="308"/>
      <c r="V134" s="308"/>
      <c r="W134" s="308"/>
      <c r="X134" s="308"/>
      <c r="Z134" s="166" t="s">
        <v>284</v>
      </c>
      <c r="AA134" s="166"/>
      <c r="AB134" s="166"/>
      <c r="AC134" s="166"/>
      <c r="AD134" s="166">
        <f>SUM(AD132:AD133)</f>
        <v>79.66317426937641</v>
      </c>
      <c r="AE134" s="166">
        <f>SUM(AE132:AE133)</f>
        <v>99.5789678367205</v>
      </c>
      <c r="AF134" s="166">
        <f>SUM(AF132:AF133)</f>
        <v>23.090775150543884</v>
      </c>
      <c r="AG134" s="166">
        <f>SUM(AG132:AG133)</f>
        <v>37.05263919505879</v>
      </c>
    </row>
    <row r="135" spans="1:33" s="311" customFormat="1" ht="11.25" customHeight="1">
      <c r="A135" s="823"/>
      <c r="B135" s="819"/>
      <c r="C135" s="548"/>
      <c r="D135" s="534"/>
      <c r="E135" s="316"/>
      <c r="F135" s="629"/>
      <c r="G135" s="703"/>
      <c r="H135" s="631"/>
      <c r="I135" s="530"/>
      <c r="J135" s="637"/>
      <c r="K135" s="639"/>
      <c r="L135" s="638"/>
      <c r="M135" s="704"/>
      <c r="N135" s="812"/>
      <c r="O135" s="308"/>
      <c r="P135" s="308"/>
      <c r="Q135" s="308"/>
      <c r="R135" s="308"/>
      <c r="S135" s="308"/>
      <c r="T135" s="308"/>
      <c r="U135" s="308"/>
      <c r="V135" s="308"/>
      <c r="W135" s="308"/>
      <c r="X135" s="308"/>
      <c r="Z135" s="13" t="s">
        <v>225</v>
      </c>
      <c r="AA135" s="13"/>
      <c r="AB135" s="13"/>
      <c r="AC135" s="13"/>
      <c r="AD135" s="13">
        <f>AD106/C28</f>
        <v>50.00000000000001</v>
      </c>
      <c r="AE135" s="13">
        <f>AD106/C29</f>
        <v>62.500000000000014</v>
      </c>
      <c r="AF135" s="13">
        <f>AD106/C27</f>
        <v>14.492753623188408</v>
      </c>
      <c r="AG135" s="13">
        <f>AD106/C32</f>
        <v>23.255813953488378</v>
      </c>
    </row>
    <row r="136" spans="1:33" s="311" customFormat="1" ht="11.25" customHeight="1">
      <c r="A136" s="823"/>
      <c r="B136" s="819"/>
      <c r="C136" s="548"/>
      <c r="D136" s="534"/>
      <c r="E136" s="316"/>
      <c r="F136" s="629"/>
      <c r="G136" s="703"/>
      <c r="H136" s="631"/>
      <c r="I136" s="530"/>
      <c r="J136" s="637"/>
      <c r="K136" s="639"/>
      <c r="L136" s="638"/>
      <c r="M136" s="704"/>
      <c r="N136" s="812"/>
      <c r="O136" s="308"/>
      <c r="P136" s="308"/>
      <c r="Q136" s="308"/>
      <c r="R136" s="308"/>
      <c r="S136" s="308"/>
      <c r="T136" s="308"/>
      <c r="U136" s="308"/>
      <c r="V136" s="308"/>
      <c r="W136" s="308"/>
      <c r="X136" s="308"/>
      <c r="Z136" s="166" t="s">
        <v>285</v>
      </c>
      <c r="AA136" s="166"/>
      <c r="AB136" s="166"/>
      <c r="AC136" s="166"/>
      <c r="AD136" s="166">
        <f>SUM(AD134:AD135)</f>
        <v>129.6631742693764</v>
      </c>
      <c r="AE136" s="166">
        <f>SUM(AE134:AE135)</f>
        <v>162.0789678367205</v>
      </c>
      <c r="AF136" s="166">
        <f>SUM(AF134:AF135)</f>
        <v>37.58352877373229</v>
      </c>
      <c r="AG136" s="166">
        <f>SUM(AG134:AG135)</f>
        <v>60.308453148547166</v>
      </c>
    </row>
    <row r="137" spans="1:24" s="311" customFormat="1" ht="11.25" customHeight="1">
      <c r="A137" s="823"/>
      <c r="B137" s="820"/>
      <c r="C137" s="680"/>
      <c r="D137" s="549"/>
      <c r="E137" s="316"/>
      <c r="F137" s="643"/>
      <c r="G137" s="705"/>
      <c r="H137" s="706"/>
      <c r="I137" s="647"/>
      <c r="J137" s="707"/>
      <c r="K137" s="708"/>
      <c r="L137" s="709"/>
      <c r="M137" s="710"/>
      <c r="N137" s="812"/>
      <c r="O137" s="308"/>
      <c r="P137" s="308"/>
      <c r="Q137" s="308"/>
      <c r="R137" s="308"/>
      <c r="S137" s="308"/>
      <c r="T137" s="308"/>
      <c r="U137" s="308"/>
      <c r="V137" s="308"/>
      <c r="W137" s="308"/>
      <c r="X137" s="308"/>
    </row>
    <row r="138" spans="2:33" s="10" customFormat="1" ht="11.25" customHeight="1">
      <c r="B138" s="34"/>
      <c r="C138" s="529"/>
      <c r="D138" s="530"/>
      <c r="E138" s="35"/>
      <c r="F138" s="31"/>
      <c r="G138" s="31"/>
      <c r="H138" s="9"/>
      <c r="N138" s="18"/>
      <c r="Y138" s="13"/>
      <c r="Z138" s="13"/>
      <c r="AA138" s="13"/>
      <c r="AB138" s="13"/>
      <c r="AC138" s="97"/>
      <c r="AD138" s="97"/>
      <c r="AE138" s="97"/>
      <c r="AF138" s="98"/>
      <c r="AG138" s="98"/>
    </row>
    <row r="139" spans="2:33" s="10" customFormat="1" ht="11.25" customHeight="1">
      <c r="B139" s="34"/>
      <c r="C139" s="529"/>
      <c r="D139" s="530"/>
      <c r="E139" s="35"/>
      <c r="F139" s="31"/>
      <c r="G139" s="31"/>
      <c r="H139" s="9"/>
      <c r="N139" s="18"/>
      <c r="AC139" s="98"/>
      <c r="AD139" s="98"/>
      <c r="AE139" s="98"/>
      <c r="AF139" s="98"/>
      <c r="AG139" s="98"/>
    </row>
    <row r="140" spans="2:33" s="10" customFormat="1" ht="11.25" customHeight="1">
      <c r="B140" s="34"/>
      <c r="C140" s="529"/>
      <c r="D140" s="530"/>
      <c r="E140" s="35"/>
      <c r="F140" s="31"/>
      <c r="G140" s="31"/>
      <c r="H140" s="9"/>
      <c r="N140" s="18"/>
      <c r="AC140" s="98"/>
      <c r="AD140" s="98"/>
      <c r="AE140" s="98"/>
      <c r="AF140" s="98"/>
      <c r="AG140" s="98"/>
    </row>
    <row r="141" spans="2:33" s="10" customFormat="1" ht="11.25" customHeight="1">
      <c r="B141" s="34"/>
      <c r="C141" s="529"/>
      <c r="D141" s="530"/>
      <c r="E141" s="35"/>
      <c r="F141" s="31"/>
      <c r="G141" s="31"/>
      <c r="H141" s="9"/>
      <c r="N141" s="18"/>
      <c r="AC141" s="98"/>
      <c r="AD141" s="98"/>
      <c r="AE141" s="98"/>
      <c r="AF141" s="98"/>
      <c r="AG141" s="98"/>
    </row>
    <row r="142" spans="2:33" s="10" customFormat="1" ht="11.25" customHeight="1">
      <c r="B142" s="34"/>
      <c r="C142" s="529"/>
      <c r="D142" s="530"/>
      <c r="E142" s="35"/>
      <c r="F142" s="31"/>
      <c r="G142" s="31"/>
      <c r="H142" s="9"/>
      <c r="N142" s="18"/>
      <c r="AC142" s="98"/>
      <c r="AD142" s="98"/>
      <c r="AE142" s="98"/>
      <c r="AF142" s="98"/>
      <c r="AG142" s="98"/>
    </row>
    <row r="143" spans="2:33" s="10" customFormat="1" ht="11.25" customHeight="1">
      <c r="B143" s="34"/>
      <c r="C143" s="529"/>
      <c r="D143" s="530"/>
      <c r="E143" s="35"/>
      <c r="F143" s="31"/>
      <c r="G143" s="31"/>
      <c r="H143" s="9"/>
      <c r="N143" s="18"/>
      <c r="AC143" s="98"/>
      <c r="AD143" s="98"/>
      <c r="AE143" s="98"/>
      <c r="AF143" s="98"/>
      <c r="AG143" s="98"/>
    </row>
    <row r="144" spans="2:33" s="10" customFormat="1" ht="11.25" customHeight="1">
      <c r="B144" s="34"/>
      <c r="C144" s="529"/>
      <c r="D144" s="530"/>
      <c r="E144" s="35"/>
      <c r="F144" s="31"/>
      <c r="G144" s="31"/>
      <c r="H144" s="9"/>
      <c r="N144" s="18"/>
      <c r="AC144" s="98"/>
      <c r="AD144" s="98"/>
      <c r="AE144" s="98"/>
      <c r="AF144" s="98"/>
      <c r="AG144" s="98"/>
    </row>
    <row r="145" spans="2:33" s="10" customFormat="1" ht="11.25" customHeight="1">
      <c r="B145" s="34"/>
      <c r="C145" s="529"/>
      <c r="D145" s="530"/>
      <c r="E145" s="35"/>
      <c r="F145" s="31"/>
      <c r="G145" s="31"/>
      <c r="H145" s="9"/>
      <c r="N145" s="18"/>
      <c r="AC145" s="98"/>
      <c r="AD145" s="98"/>
      <c r="AE145" s="98"/>
      <c r="AF145" s="98"/>
      <c r="AG145" s="98"/>
    </row>
    <row r="146" spans="2:33" s="10" customFormat="1" ht="11.25" customHeight="1">
      <c r="B146" s="34"/>
      <c r="C146" s="529"/>
      <c r="D146" s="530"/>
      <c r="E146" s="35"/>
      <c r="F146" s="31"/>
      <c r="G146" s="31"/>
      <c r="H146" s="9"/>
      <c r="N146" s="18"/>
      <c r="AC146" s="98"/>
      <c r="AD146" s="98"/>
      <c r="AE146" s="98"/>
      <c r="AF146" s="98"/>
      <c r="AG146" s="98"/>
    </row>
    <row r="147" spans="2:33" s="10" customFormat="1" ht="11.25" customHeight="1">
      <c r="B147" s="34"/>
      <c r="C147" s="529"/>
      <c r="D147" s="530"/>
      <c r="E147" s="35"/>
      <c r="F147" s="31"/>
      <c r="G147" s="31"/>
      <c r="H147" s="9"/>
      <c r="N147" s="18"/>
      <c r="AC147" s="98"/>
      <c r="AD147" s="98"/>
      <c r="AE147" s="98"/>
      <c r="AF147" s="98"/>
      <c r="AG147" s="98"/>
    </row>
    <row r="148" spans="2:14" s="10" customFormat="1" ht="11.25" customHeight="1">
      <c r="B148" s="34"/>
      <c r="C148" s="529"/>
      <c r="D148" s="530"/>
      <c r="E148" s="35"/>
      <c r="F148" s="31"/>
      <c r="G148" s="31"/>
      <c r="H148" s="9"/>
      <c r="N148" s="18"/>
    </row>
    <row r="149" spans="2:14" s="10" customFormat="1" ht="11.25" customHeight="1">
      <c r="B149" s="34"/>
      <c r="C149" s="529"/>
      <c r="D149" s="530"/>
      <c r="E149" s="35"/>
      <c r="F149" s="31"/>
      <c r="G149" s="31"/>
      <c r="H149" s="9"/>
      <c r="N149" s="18"/>
    </row>
    <row r="150" spans="2:14" s="10" customFormat="1" ht="11.25" customHeight="1">
      <c r="B150" s="34"/>
      <c r="C150" s="529"/>
      <c r="D150" s="530"/>
      <c r="E150" s="35"/>
      <c r="F150" s="31"/>
      <c r="G150" s="31"/>
      <c r="H150" s="9"/>
      <c r="N150" s="18"/>
    </row>
    <row r="151" spans="2:14" s="10" customFormat="1" ht="11.25" customHeight="1">
      <c r="B151" s="34"/>
      <c r="C151" s="529"/>
      <c r="D151" s="530"/>
      <c r="E151" s="35"/>
      <c r="F151" s="31"/>
      <c r="G151" s="31"/>
      <c r="H151" s="9"/>
      <c r="N151" s="18"/>
    </row>
    <row r="152" spans="2:33" s="10" customFormat="1" ht="11.25" customHeight="1">
      <c r="B152" s="34"/>
      <c r="C152" s="529"/>
      <c r="D152" s="530"/>
      <c r="E152" s="35"/>
      <c r="F152" s="31"/>
      <c r="G152" s="31"/>
      <c r="H152" s="9"/>
      <c r="N152" s="18"/>
      <c r="AC152" s="98"/>
      <c r="AD152" s="98"/>
      <c r="AE152" s="98"/>
      <c r="AF152" s="98"/>
      <c r="AG152" s="98"/>
    </row>
    <row r="153" spans="2:33" s="10" customFormat="1" ht="11.25" customHeight="1">
      <c r="B153" s="34"/>
      <c r="C153" s="529"/>
      <c r="D153" s="530"/>
      <c r="E153" s="35"/>
      <c r="F153" s="31"/>
      <c r="G153" s="31"/>
      <c r="H153" s="9"/>
      <c r="N153" s="18"/>
      <c r="AC153" s="98"/>
      <c r="AD153" s="98"/>
      <c r="AE153" s="98"/>
      <c r="AF153" s="98"/>
      <c r="AG153" s="98"/>
    </row>
    <row r="154" spans="2:33" s="10" customFormat="1" ht="11.25" customHeight="1">
      <c r="B154" s="34"/>
      <c r="C154" s="529"/>
      <c r="D154" s="530"/>
      <c r="E154" s="35"/>
      <c r="F154" s="31"/>
      <c r="G154" s="31"/>
      <c r="H154" s="9"/>
      <c r="N154" s="18"/>
      <c r="AC154" s="98"/>
      <c r="AD154" s="98"/>
      <c r="AE154" s="98"/>
      <c r="AF154" s="98"/>
      <c r="AG154" s="98"/>
    </row>
    <row r="155" spans="2:33" s="10" customFormat="1" ht="11.25" customHeight="1">
      <c r="B155" s="34"/>
      <c r="C155" s="529"/>
      <c r="D155" s="530"/>
      <c r="E155" s="35"/>
      <c r="F155" s="31"/>
      <c r="G155" s="31"/>
      <c r="H155" s="9"/>
      <c r="N155" s="18"/>
      <c r="AC155" s="98"/>
      <c r="AD155" s="98"/>
      <c r="AE155" s="98"/>
      <c r="AF155" s="98"/>
      <c r="AG155" s="98"/>
    </row>
    <row r="156" spans="2:33" s="10" customFormat="1" ht="11.25" customHeight="1">
      <c r="B156" s="34"/>
      <c r="C156" s="529"/>
      <c r="D156" s="530"/>
      <c r="E156" s="35"/>
      <c r="F156" s="31"/>
      <c r="G156" s="31"/>
      <c r="H156" s="9"/>
      <c r="N156" s="18"/>
      <c r="AC156" s="98"/>
      <c r="AD156" s="98"/>
      <c r="AE156" s="98"/>
      <c r="AF156" s="98"/>
      <c r="AG156" s="98"/>
    </row>
    <row r="157" spans="2:33" s="10" customFormat="1" ht="11.25" customHeight="1">
      <c r="B157" s="34"/>
      <c r="C157" s="529"/>
      <c r="D157" s="530"/>
      <c r="E157" s="35"/>
      <c r="F157" s="31"/>
      <c r="G157" s="31"/>
      <c r="H157" s="9"/>
      <c r="N157" s="18"/>
      <c r="AC157" s="98"/>
      <c r="AD157" s="98"/>
      <c r="AE157" s="98"/>
      <c r="AF157" s="98"/>
      <c r="AG157" s="98"/>
    </row>
    <row r="158" spans="2:33" s="10" customFormat="1" ht="11.25" customHeight="1">
      <c r="B158" s="34"/>
      <c r="C158" s="529"/>
      <c r="D158" s="530"/>
      <c r="E158" s="35"/>
      <c r="F158" s="31"/>
      <c r="G158" s="31"/>
      <c r="H158" s="9"/>
      <c r="N158" s="18"/>
      <c r="AC158" s="98"/>
      <c r="AD158" s="98"/>
      <c r="AE158" s="98"/>
      <c r="AF158" s="98"/>
      <c r="AG158" s="98"/>
    </row>
    <row r="159" spans="2:33" s="10" customFormat="1" ht="11.25" customHeight="1">
      <c r="B159" s="34"/>
      <c r="C159" s="529"/>
      <c r="D159" s="530"/>
      <c r="E159" s="35"/>
      <c r="F159" s="31"/>
      <c r="G159" s="31"/>
      <c r="H159" s="9"/>
      <c r="N159" s="18"/>
      <c r="AC159" s="98"/>
      <c r="AD159" s="98"/>
      <c r="AE159" s="98"/>
      <c r="AF159" s="98"/>
      <c r="AG159" s="98"/>
    </row>
    <row r="160" spans="2:33" s="10" customFormat="1" ht="11.25" customHeight="1">
      <c r="B160" s="34"/>
      <c r="C160" s="529"/>
      <c r="D160" s="530"/>
      <c r="E160" s="35"/>
      <c r="F160" s="31"/>
      <c r="G160" s="31"/>
      <c r="H160" s="9"/>
      <c r="N160" s="18"/>
      <c r="AC160" s="98"/>
      <c r="AD160" s="98"/>
      <c r="AE160" s="98"/>
      <c r="AF160" s="98"/>
      <c r="AG160" s="98"/>
    </row>
    <row r="161" spans="2:33" s="10" customFormat="1" ht="11.25" customHeight="1">
      <c r="B161" s="34"/>
      <c r="C161" s="529"/>
      <c r="D161" s="530"/>
      <c r="E161" s="35"/>
      <c r="F161" s="31"/>
      <c r="G161" s="31"/>
      <c r="H161" s="9"/>
      <c r="N161" s="18"/>
      <c r="AC161" s="98"/>
      <c r="AD161" s="98"/>
      <c r="AE161" s="98"/>
      <c r="AF161" s="98"/>
      <c r="AG161" s="98"/>
    </row>
    <row r="162" spans="2:33" s="10" customFormat="1" ht="11.25" customHeight="1">
      <c r="B162" s="34"/>
      <c r="C162" s="529"/>
      <c r="D162" s="530"/>
      <c r="E162" s="35"/>
      <c r="F162" s="31"/>
      <c r="G162" s="31"/>
      <c r="H162" s="9"/>
      <c r="N162" s="18"/>
      <c r="AC162" s="98"/>
      <c r="AD162" s="98"/>
      <c r="AE162" s="98"/>
      <c r="AF162" s="98"/>
      <c r="AG162" s="98"/>
    </row>
    <row r="163" spans="2:33" s="10" customFormat="1" ht="11.25" customHeight="1">
      <c r="B163" s="34"/>
      <c r="C163" s="529"/>
      <c r="D163" s="530"/>
      <c r="E163" s="35"/>
      <c r="F163" s="31"/>
      <c r="G163" s="31"/>
      <c r="H163" s="9"/>
      <c r="N163" s="18"/>
      <c r="AC163" s="98"/>
      <c r="AD163" s="98"/>
      <c r="AE163" s="98"/>
      <c r="AF163" s="98"/>
      <c r="AG163" s="98"/>
    </row>
    <row r="164" spans="2:33" s="10" customFormat="1" ht="11.25" customHeight="1">
      <c r="B164" s="34"/>
      <c r="C164" s="529"/>
      <c r="D164" s="530"/>
      <c r="E164" s="35"/>
      <c r="F164" s="31"/>
      <c r="G164" s="31"/>
      <c r="H164" s="9"/>
      <c r="N164" s="18"/>
      <c r="AC164" s="98"/>
      <c r="AD164" s="98"/>
      <c r="AE164" s="98"/>
      <c r="AF164" s="98"/>
      <c r="AG164" s="98"/>
    </row>
    <row r="165" spans="2:33" s="10" customFormat="1" ht="11.25" customHeight="1">
      <c r="B165" s="34"/>
      <c r="C165" s="529"/>
      <c r="D165" s="530"/>
      <c r="E165" s="35"/>
      <c r="F165" s="31"/>
      <c r="G165" s="31"/>
      <c r="H165" s="9"/>
      <c r="N165" s="18"/>
      <c r="AC165" s="98"/>
      <c r="AD165" s="98"/>
      <c r="AE165" s="98"/>
      <c r="AF165" s="98"/>
      <c r="AG165" s="98"/>
    </row>
    <row r="166" spans="2:33" s="10" customFormat="1" ht="11.25" customHeight="1">
      <c r="B166" s="34"/>
      <c r="C166" s="529"/>
      <c r="D166" s="530"/>
      <c r="E166" s="35"/>
      <c r="F166" s="31"/>
      <c r="G166" s="31"/>
      <c r="H166" s="9"/>
      <c r="N166" s="18"/>
      <c r="AC166" s="98"/>
      <c r="AD166" s="98"/>
      <c r="AE166" s="98"/>
      <c r="AF166" s="98"/>
      <c r="AG166" s="98"/>
    </row>
    <row r="167" spans="2:33" s="10" customFormat="1" ht="11.25" customHeight="1">
      <c r="B167" s="34"/>
      <c r="C167" s="529"/>
      <c r="D167" s="530"/>
      <c r="E167" s="35"/>
      <c r="F167" s="31"/>
      <c r="G167" s="31"/>
      <c r="H167" s="9"/>
      <c r="N167" s="18"/>
      <c r="AC167" s="98"/>
      <c r="AD167" s="98"/>
      <c r="AE167" s="98"/>
      <c r="AF167" s="98"/>
      <c r="AG167" s="98"/>
    </row>
    <row r="168" spans="2:33" s="10" customFormat="1" ht="11.25" customHeight="1">
      <c r="B168" s="34"/>
      <c r="C168" s="529"/>
      <c r="D168" s="530"/>
      <c r="E168" s="35"/>
      <c r="F168" s="31"/>
      <c r="G168" s="31"/>
      <c r="H168" s="9"/>
      <c r="N168" s="18"/>
      <c r="AC168" s="98"/>
      <c r="AD168" s="98"/>
      <c r="AE168" s="98"/>
      <c r="AF168" s="98"/>
      <c r="AG168" s="98"/>
    </row>
    <row r="169" spans="2:33" s="10" customFormat="1" ht="11.25" customHeight="1">
      <c r="B169" s="34"/>
      <c r="C169" s="529"/>
      <c r="D169" s="530"/>
      <c r="E169" s="35"/>
      <c r="F169" s="31"/>
      <c r="G169" s="31"/>
      <c r="H169" s="9"/>
      <c r="N169" s="18"/>
      <c r="AC169" s="98"/>
      <c r="AD169" s="98"/>
      <c r="AE169" s="98"/>
      <c r="AF169" s="98"/>
      <c r="AG169" s="98"/>
    </row>
    <row r="170" spans="2:33" s="10" customFormat="1" ht="11.25" customHeight="1">
      <c r="B170" s="34"/>
      <c r="C170" s="529"/>
      <c r="D170" s="530"/>
      <c r="E170" s="35"/>
      <c r="F170" s="31"/>
      <c r="G170" s="31"/>
      <c r="H170" s="9"/>
      <c r="N170" s="18"/>
      <c r="AC170" s="98"/>
      <c r="AD170" s="98"/>
      <c r="AE170" s="98"/>
      <c r="AF170" s="98"/>
      <c r="AG170" s="98"/>
    </row>
    <row r="171" spans="2:33" s="10" customFormat="1" ht="11.25" customHeight="1">
      <c r="B171" s="34"/>
      <c r="C171" s="529"/>
      <c r="D171" s="530"/>
      <c r="E171" s="35"/>
      <c r="F171" s="31"/>
      <c r="G171" s="31"/>
      <c r="H171" s="9"/>
      <c r="N171" s="18"/>
      <c r="AC171" s="98"/>
      <c r="AD171" s="98"/>
      <c r="AE171" s="98"/>
      <c r="AF171" s="98"/>
      <c r="AG171" s="98"/>
    </row>
    <row r="172" spans="2:33" s="10" customFormat="1" ht="11.25" customHeight="1">
      <c r="B172" s="34"/>
      <c r="C172" s="529"/>
      <c r="D172" s="530"/>
      <c r="E172" s="35"/>
      <c r="F172" s="31"/>
      <c r="G172" s="31"/>
      <c r="H172" s="9"/>
      <c r="N172" s="18"/>
      <c r="AC172" s="98"/>
      <c r="AD172" s="98"/>
      <c r="AE172" s="98"/>
      <c r="AF172" s="98"/>
      <c r="AG172" s="98"/>
    </row>
    <row r="173" spans="2:33" s="10" customFormat="1" ht="11.25" customHeight="1">
      <c r="B173" s="34"/>
      <c r="C173" s="529"/>
      <c r="D173" s="530"/>
      <c r="E173" s="35"/>
      <c r="F173" s="31"/>
      <c r="G173" s="31"/>
      <c r="H173" s="9"/>
      <c r="N173" s="18"/>
      <c r="AC173" s="98"/>
      <c r="AD173" s="98"/>
      <c r="AE173" s="98"/>
      <c r="AF173" s="98"/>
      <c r="AG173" s="98"/>
    </row>
    <row r="174" spans="2:33" s="10" customFormat="1" ht="11.25" customHeight="1">
      <c r="B174" s="34"/>
      <c r="C174" s="529"/>
      <c r="D174" s="530"/>
      <c r="E174" s="35"/>
      <c r="F174" s="31"/>
      <c r="G174" s="31"/>
      <c r="H174" s="9"/>
      <c r="N174" s="18"/>
      <c r="AC174" s="98"/>
      <c r="AD174" s="98"/>
      <c r="AE174" s="98"/>
      <c r="AF174" s="98"/>
      <c r="AG174" s="98"/>
    </row>
    <row r="175" spans="2:33" s="10" customFormat="1" ht="11.25" customHeight="1">
      <c r="B175" s="34"/>
      <c r="C175" s="529"/>
      <c r="D175" s="530"/>
      <c r="E175" s="35"/>
      <c r="F175" s="31"/>
      <c r="G175" s="31"/>
      <c r="H175" s="9"/>
      <c r="N175" s="18"/>
      <c r="AC175" s="98"/>
      <c r="AD175" s="98"/>
      <c r="AE175" s="98"/>
      <c r="AF175" s="98"/>
      <c r="AG175" s="98"/>
    </row>
    <row r="176" spans="2:33" s="10" customFormat="1" ht="11.25" customHeight="1">
      <c r="B176" s="34"/>
      <c r="C176" s="529"/>
      <c r="D176" s="530"/>
      <c r="E176" s="35"/>
      <c r="F176" s="31"/>
      <c r="G176" s="31"/>
      <c r="H176" s="9"/>
      <c r="N176" s="18"/>
      <c r="AC176" s="98"/>
      <c r="AD176" s="98"/>
      <c r="AE176" s="98"/>
      <c r="AF176" s="98"/>
      <c r="AG176" s="98"/>
    </row>
    <row r="177" spans="2:33" s="10" customFormat="1" ht="11.25" customHeight="1">
      <c r="B177" s="34"/>
      <c r="C177" s="529"/>
      <c r="D177" s="530"/>
      <c r="E177" s="35"/>
      <c r="F177" s="31"/>
      <c r="G177" s="31"/>
      <c r="H177" s="9"/>
      <c r="N177" s="18"/>
      <c r="AC177" s="98"/>
      <c r="AD177" s="98"/>
      <c r="AE177" s="98"/>
      <c r="AF177" s="98"/>
      <c r="AG177" s="98"/>
    </row>
    <row r="178" spans="2:33" s="10" customFormat="1" ht="11.25" customHeight="1">
      <c r="B178" s="34"/>
      <c r="C178" s="529"/>
      <c r="D178" s="530"/>
      <c r="E178" s="35"/>
      <c r="F178" s="31"/>
      <c r="G178" s="31"/>
      <c r="H178" s="9"/>
      <c r="N178" s="18"/>
      <c r="AC178" s="98"/>
      <c r="AD178" s="98"/>
      <c r="AE178" s="98"/>
      <c r="AF178" s="98"/>
      <c r="AG178" s="98"/>
    </row>
    <row r="179" spans="2:33" s="10" customFormat="1" ht="11.25" customHeight="1">
      <c r="B179" s="34"/>
      <c r="C179" s="529"/>
      <c r="D179" s="530"/>
      <c r="E179" s="35"/>
      <c r="F179" s="31"/>
      <c r="G179" s="31"/>
      <c r="H179" s="9"/>
      <c r="N179" s="18"/>
      <c r="AC179" s="98"/>
      <c r="AD179" s="98"/>
      <c r="AE179" s="98"/>
      <c r="AF179" s="98"/>
      <c r="AG179" s="98"/>
    </row>
    <row r="180" spans="2:33" s="10" customFormat="1" ht="11.25" customHeight="1">
      <c r="B180" s="34"/>
      <c r="C180" s="529"/>
      <c r="D180" s="530"/>
      <c r="E180" s="35"/>
      <c r="F180" s="31"/>
      <c r="G180" s="31"/>
      <c r="H180" s="9"/>
      <c r="N180" s="18"/>
      <c r="AC180" s="98"/>
      <c r="AD180" s="98"/>
      <c r="AE180" s="98"/>
      <c r="AF180" s="98"/>
      <c r="AG180" s="98"/>
    </row>
    <row r="181" spans="2:33" s="10" customFormat="1" ht="11.25" customHeight="1">
      <c r="B181" s="34"/>
      <c r="C181" s="529"/>
      <c r="D181" s="530"/>
      <c r="E181" s="35"/>
      <c r="F181" s="31"/>
      <c r="G181" s="31"/>
      <c r="H181" s="9"/>
      <c r="N181" s="18"/>
      <c r="AC181" s="98"/>
      <c r="AD181" s="98"/>
      <c r="AE181" s="98"/>
      <c r="AF181" s="98"/>
      <c r="AG181" s="98"/>
    </row>
    <row r="182" spans="2:33" s="10" customFormat="1" ht="11.25" customHeight="1">
      <c r="B182" s="34"/>
      <c r="C182" s="529"/>
      <c r="D182" s="530"/>
      <c r="E182" s="35"/>
      <c r="F182" s="31"/>
      <c r="G182" s="31"/>
      <c r="H182" s="9"/>
      <c r="N182" s="18"/>
      <c r="AC182" s="98"/>
      <c r="AD182" s="98"/>
      <c r="AE182" s="98"/>
      <c r="AF182" s="98"/>
      <c r="AG182" s="98"/>
    </row>
    <row r="183" spans="2:33" s="10" customFormat="1" ht="11.25" customHeight="1">
      <c r="B183" s="34"/>
      <c r="C183" s="529"/>
      <c r="D183" s="530"/>
      <c r="E183" s="35"/>
      <c r="F183" s="31"/>
      <c r="G183" s="31"/>
      <c r="H183" s="9"/>
      <c r="N183" s="18"/>
      <c r="AC183" s="98"/>
      <c r="AD183" s="98"/>
      <c r="AE183" s="98"/>
      <c r="AF183" s="98"/>
      <c r="AG183" s="98"/>
    </row>
    <row r="184" spans="2:33" s="10" customFormat="1" ht="11.25" customHeight="1">
      <c r="B184" s="34"/>
      <c r="C184" s="529"/>
      <c r="D184" s="530"/>
      <c r="E184" s="35"/>
      <c r="F184" s="31"/>
      <c r="G184" s="31"/>
      <c r="H184" s="9"/>
      <c r="N184" s="18"/>
      <c r="AC184" s="98"/>
      <c r="AD184" s="98"/>
      <c r="AE184" s="98"/>
      <c r="AF184" s="98"/>
      <c r="AG184" s="98"/>
    </row>
    <row r="185" spans="2:33" s="10" customFormat="1" ht="11.25" customHeight="1">
      <c r="B185" s="34"/>
      <c r="C185" s="529"/>
      <c r="D185" s="530"/>
      <c r="E185" s="35"/>
      <c r="F185" s="31"/>
      <c r="G185" s="31"/>
      <c r="H185" s="9"/>
      <c r="N185" s="18"/>
      <c r="AC185" s="98"/>
      <c r="AD185" s="98"/>
      <c r="AE185" s="98"/>
      <c r="AF185" s="98"/>
      <c r="AG185" s="98"/>
    </row>
    <row r="186" spans="2:33" s="10" customFormat="1" ht="11.25" customHeight="1">
      <c r="B186" s="34"/>
      <c r="C186" s="529"/>
      <c r="D186" s="530"/>
      <c r="E186" s="35"/>
      <c r="F186" s="31"/>
      <c r="G186" s="31"/>
      <c r="H186" s="9"/>
      <c r="N186" s="18"/>
      <c r="AC186" s="98"/>
      <c r="AD186" s="98"/>
      <c r="AE186" s="98"/>
      <c r="AF186" s="98"/>
      <c r="AG186" s="98"/>
    </row>
    <row r="187" spans="2:33" s="10" customFormat="1" ht="11.25" customHeight="1">
      <c r="B187" s="34"/>
      <c r="C187" s="529"/>
      <c r="D187" s="530"/>
      <c r="E187" s="35"/>
      <c r="F187" s="31"/>
      <c r="G187" s="31"/>
      <c r="H187" s="9"/>
      <c r="N187" s="18"/>
      <c r="AC187" s="98"/>
      <c r="AD187" s="98"/>
      <c r="AE187" s="98"/>
      <c r="AF187" s="98"/>
      <c r="AG187" s="98"/>
    </row>
    <row r="188" spans="2:33" s="10" customFormat="1" ht="11.25" customHeight="1">
      <c r="B188" s="34"/>
      <c r="C188" s="529"/>
      <c r="D188" s="530"/>
      <c r="E188" s="35"/>
      <c r="F188" s="31"/>
      <c r="G188" s="31"/>
      <c r="H188" s="9"/>
      <c r="N188" s="18"/>
      <c r="AC188" s="98"/>
      <c r="AD188" s="98"/>
      <c r="AE188" s="98"/>
      <c r="AF188" s="98"/>
      <c r="AG188" s="98"/>
    </row>
    <row r="189" spans="2:33" s="10" customFormat="1" ht="11.25" customHeight="1">
      <c r="B189" s="34"/>
      <c r="C189" s="529"/>
      <c r="D189" s="530"/>
      <c r="E189" s="35"/>
      <c r="F189" s="31"/>
      <c r="G189" s="31"/>
      <c r="H189" s="9"/>
      <c r="N189" s="18"/>
      <c r="AC189" s="98"/>
      <c r="AD189" s="98"/>
      <c r="AE189" s="98"/>
      <c r="AF189" s="98"/>
      <c r="AG189" s="98"/>
    </row>
    <row r="190" spans="2:33" s="10" customFormat="1" ht="11.25" customHeight="1">
      <c r="B190" s="34"/>
      <c r="C190" s="529"/>
      <c r="D190" s="530"/>
      <c r="E190" s="35"/>
      <c r="F190" s="31"/>
      <c r="G190" s="31"/>
      <c r="H190" s="9"/>
      <c r="N190" s="18"/>
      <c r="AC190" s="98"/>
      <c r="AD190" s="98"/>
      <c r="AE190" s="98"/>
      <c r="AF190" s="98"/>
      <c r="AG190" s="98"/>
    </row>
    <row r="191" spans="2:33" s="10" customFormat="1" ht="11.25" customHeight="1">
      <c r="B191" s="34"/>
      <c r="C191" s="529"/>
      <c r="D191" s="530"/>
      <c r="E191" s="35"/>
      <c r="F191" s="31"/>
      <c r="G191" s="31"/>
      <c r="H191" s="9"/>
      <c r="N191" s="18"/>
      <c r="AC191" s="98"/>
      <c r="AD191" s="98"/>
      <c r="AE191" s="98"/>
      <c r="AF191" s="98"/>
      <c r="AG191" s="98"/>
    </row>
    <row r="192" spans="2:33" s="10" customFormat="1" ht="11.25" customHeight="1">
      <c r="B192" s="34"/>
      <c r="C192" s="529"/>
      <c r="D192" s="530"/>
      <c r="E192" s="35"/>
      <c r="F192" s="31"/>
      <c r="G192" s="31"/>
      <c r="H192" s="9"/>
      <c r="N192" s="18"/>
      <c r="AC192" s="98"/>
      <c r="AD192" s="98"/>
      <c r="AE192" s="98"/>
      <c r="AF192" s="98"/>
      <c r="AG192" s="98"/>
    </row>
    <row r="193" spans="2:33" s="10" customFormat="1" ht="11.25" customHeight="1">
      <c r="B193" s="34"/>
      <c r="C193" s="529"/>
      <c r="D193" s="530"/>
      <c r="E193" s="35"/>
      <c r="F193" s="31"/>
      <c r="G193" s="31"/>
      <c r="H193" s="9"/>
      <c r="N193" s="18"/>
      <c r="AC193" s="98"/>
      <c r="AD193" s="98"/>
      <c r="AE193" s="98"/>
      <c r="AF193" s="98"/>
      <c r="AG193" s="98"/>
    </row>
    <row r="194" spans="2:33" s="10" customFormat="1" ht="11.25" customHeight="1">
      <c r="B194" s="34"/>
      <c r="C194" s="529"/>
      <c r="D194" s="530"/>
      <c r="E194" s="35"/>
      <c r="F194" s="31"/>
      <c r="G194" s="31"/>
      <c r="H194" s="9"/>
      <c r="N194" s="18"/>
      <c r="AC194" s="98"/>
      <c r="AD194" s="98"/>
      <c r="AE194" s="98"/>
      <c r="AF194" s="98"/>
      <c r="AG194" s="98"/>
    </row>
    <row r="195" spans="2:33" s="10" customFormat="1" ht="11.25" customHeight="1">
      <c r="B195" s="34"/>
      <c r="C195" s="529"/>
      <c r="D195" s="530"/>
      <c r="E195" s="35"/>
      <c r="F195" s="31"/>
      <c r="G195" s="31"/>
      <c r="H195" s="9"/>
      <c r="N195" s="18"/>
      <c r="AC195" s="98"/>
      <c r="AD195" s="98"/>
      <c r="AE195" s="98"/>
      <c r="AF195" s="98"/>
      <c r="AG195" s="98"/>
    </row>
    <row r="196" spans="2:33" s="10" customFormat="1" ht="11.25" customHeight="1">
      <c r="B196" s="34"/>
      <c r="C196" s="529"/>
      <c r="D196" s="530"/>
      <c r="E196" s="35"/>
      <c r="F196" s="31"/>
      <c r="G196" s="31"/>
      <c r="H196" s="9"/>
      <c r="N196" s="18"/>
      <c r="AC196" s="98"/>
      <c r="AD196" s="98"/>
      <c r="AE196" s="98"/>
      <c r="AF196" s="98"/>
      <c r="AG196" s="98"/>
    </row>
    <row r="197" spans="2:33" s="10" customFormat="1" ht="11.25" customHeight="1">
      <c r="B197" s="34"/>
      <c r="C197" s="529"/>
      <c r="D197" s="530"/>
      <c r="E197" s="35"/>
      <c r="F197" s="31"/>
      <c r="G197" s="31"/>
      <c r="H197" s="9"/>
      <c r="N197" s="18"/>
      <c r="AC197" s="98"/>
      <c r="AD197" s="98"/>
      <c r="AE197" s="98"/>
      <c r="AF197" s="98"/>
      <c r="AG197" s="98"/>
    </row>
    <row r="198" spans="2:33" s="10" customFormat="1" ht="11.25" customHeight="1">
      <c r="B198" s="34"/>
      <c r="C198" s="529"/>
      <c r="D198" s="530"/>
      <c r="E198" s="35"/>
      <c r="F198" s="31"/>
      <c r="G198" s="31"/>
      <c r="H198" s="9"/>
      <c r="N198" s="18"/>
      <c r="AC198" s="98"/>
      <c r="AD198" s="98"/>
      <c r="AE198" s="98"/>
      <c r="AF198" s="98"/>
      <c r="AG198" s="98"/>
    </row>
    <row r="199" spans="2:33" s="10" customFormat="1" ht="11.25" customHeight="1">
      <c r="B199" s="34"/>
      <c r="C199" s="529"/>
      <c r="D199" s="530"/>
      <c r="E199" s="35"/>
      <c r="F199" s="31"/>
      <c r="G199" s="31"/>
      <c r="H199" s="9"/>
      <c r="N199" s="18"/>
      <c r="AC199" s="98"/>
      <c r="AD199" s="98"/>
      <c r="AE199" s="98"/>
      <c r="AF199" s="98"/>
      <c r="AG199" s="98"/>
    </row>
    <row r="200" spans="2:33" s="10" customFormat="1" ht="11.25" customHeight="1">
      <c r="B200" s="34"/>
      <c r="C200" s="529"/>
      <c r="D200" s="530"/>
      <c r="E200" s="35"/>
      <c r="F200" s="31"/>
      <c r="G200" s="31"/>
      <c r="H200" s="9"/>
      <c r="N200" s="18"/>
      <c r="AC200" s="98"/>
      <c r="AD200" s="98"/>
      <c r="AE200" s="98"/>
      <c r="AF200" s="98"/>
      <c r="AG200" s="98"/>
    </row>
    <row r="201" spans="2:33" s="10" customFormat="1" ht="11.25" customHeight="1">
      <c r="B201" s="34"/>
      <c r="C201" s="529"/>
      <c r="D201" s="530"/>
      <c r="E201" s="35"/>
      <c r="F201" s="31"/>
      <c r="G201" s="31"/>
      <c r="H201" s="9"/>
      <c r="N201" s="18"/>
      <c r="AC201" s="98"/>
      <c r="AD201" s="98"/>
      <c r="AE201" s="98"/>
      <c r="AF201" s="98"/>
      <c r="AG201" s="98"/>
    </row>
    <row r="202" spans="2:33" s="10" customFormat="1" ht="11.25" customHeight="1">
      <c r="B202" s="34"/>
      <c r="C202" s="529"/>
      <c r="D202" s="530"/>
      <c r="E202" s="35"/>
      <c r="F202" s="31"/>
      <c r="G202" s="31"/>
      <c r="H202" s="9"/>
      <c r="N202" s="18"/>
      <c r="AC202" s="98"/>
      <c r="AD202" s="98"/>
      <c r="AE202" s="98"/>
      <c r="AF202" s="98"/>
      <c r="AG202" s="98"/>
    </row>
    <row r="203" spans="2:33" s="10" customFormat="1" ht="11.25" customHeight="1">
      <c r="B203" s="34"/>
      <c r="C203" s="529"/>
      <c r="D203" s="530"/>
      <c r="E203" s="35"/>
      <c r="F203" s="31"/>
      <c r="G203" s="31"/>
      <c r="H203" s="9"/>
      <c r="N203" s="18"/>
      <c r="AC203" s="98"/>
      <c r="AD203" s="98"/>
      <c r="AE203" s="98"/>
      <c r="AF203" s="98"/>
      <c r="AG203" s="98"/>
    </row>
    <row r="204" spans="2:33" s="10" customFormat="1" ht="11.25" customHeight="1">
      <c r="B204" s="34"/>
      <c r="C204" s="529"/>
      <c r="D204" s="530"/>
      <c r="E204" s="35"/>
      <c r="F204" s="31"/>
      <c r="G204" s="31"/>
      <c r="H204" s="9"/>
      <c r="N204" s="18"/>
      <c r="AC204" s="98"/>
      <c r="AD204" s="98"/>
      <c r="AE204" s="98"/>
      <c r="AF204" s="98"/>
      <c r="AG204" s="98"/>
    </row>
    <row r="205" spans="2:33" s="10" customFormat="1" ht="11.25" customHeight="1">
      <c r="B205" s="34"/>
      <c r="C205" s="529"/>
      <c r="D205" s="530"/>
      <c r="E205" s="35"/>
      <c r="F205" s="31"/>
      <c r="G205" s="31"/>
      <c r="H205" s="9"/>
      <c r="N205" s="18"/>
      <c r="AC205" s="98"/>
      <c r="AD205" s="98"/>
      <c r="AE205" s="98"/>
      <c r="AF205" s="98"/>
      <c r="AG205" s="98"/>
    </row>
    <row r="206" spans="2:33" s="10" customFormat="1" ht="11.25" customHeight="1">
      <c r="B206" s="34"/>
      <c r="C206" s="529"/>
      <c r="D206" s="530"/>
      <c r="E206" s="35"/>
      <c r="F206" s="31"/>
      <c r="G206" s="31"/>
      <c r="H206" s="9"/>
      <c r="N206" s="18"/>
      <c r="AC206" s="98"/>
      <c r="AD206" s="98"/>
      <c r="AE206" s="98"/>
      <c r="AF206" s="98"/>
      <c r="AG206" s="98"/>
    </row>
    <row r="207" spans="2:33" s="10" customFormat="1" ht="11.25" customHeight="1">
      <c r="B207" s="34"/>
      <c r="C207" s="529"/>
      <c r="D207" s="530"/>
      <c r="E207" s="35"/>
      <c r="F207" s="31"/>
      <c r="G207" s="31"/>
      <c r="H207" s="9"/>
      <c r="N207" s="18"/>
      <c r="AC207" s="98"/>
      <c r="AD207" s="98"/>
      <c r="AE207" s="98"/>
      <c r="AF207" s="98"/>
      <c r="AG207" s="98"/>
    </row>
    <row r="208" spans="2:33" s="10" customFormat="1" ht="11.25" customHeight="1">
      <c r="B208" s="34"/>
      <c r="C208" s="529"/>
      <c r="D208" s="530"/>
      <c r="E208" s="35"/>
      <c r="F208" s="31"/>
      <c r="G208" s="31"/>
      <c r="H208" s="9"/>
      <c r="N208" s="18"/>
      <c r="AC208" s="98"/>
      <c r="AD208" s="98"/>
      <c r="AE208" s="98"/>
      <c r="AF208" s="98"/>
      <c r="AG208" s="98"/>
    </row>
    <row r="209" spans="2:33" s="10" customFormat="1" ht="11.25" customHeight="1">
      <c r="B209" s="34"/>
      <c r="C209" s="529"/>
      <c r="D209" s="530"/>
      <c r="E209" s="35"/>
      <c r="F209" s="31"/>
      <c r="G209" s="31"/>
      <c r="H209" s="9"/>
      <c r="N209" s="18"/>
      <c r="AC209" s="98"/>
      <c r="AD209" s="98"/>
      <c r="AE209" s="98"/>
      <c r="AF209" s="98"/>
      <c r="AG209" s="98"/>
    </row>
    <row r="210" spans="2:33" s="10" customFormat="1" ht="11.25" customHeight="1">
      <c r="B210" s="34"/>
      <c r="C210" s="529"/>
      <c r="D210" s="530"/>
      <c r="E210" s="35"/>
      <c r="F210" s="31"/>
      <c r="G210" s="31"/>
      <c r="H210" s="9"/>
      <c r="N210" s="18"/>
      <c r="AC210" s="98"/>
      <c r="AD210" s="98"/>
      <c r="AE210" s="98"/>
      <c r="AF210" s="98"/>
      <c r="AG210" s="98"/>
    </row>
    <row r="211" spans="2:33" s="10" customFormat="1" ht="11.25" customHeight="1">
      <c r="B211" s="34"/>
      <c r="C211" s="529"/>
      <c r="D211" s="530"/>
      <c r="E211" s="35"/>
      <c r="F211" s="31"/>
      <c r="G211" s="31"/>
      <c r="H211" s="9"/>
      <c r="N211" s="18"/>
      <c r="AC211" s="98"/>
      <c r="AD211" s="98"/>
      <c r="AE211" s="98"/>
      <c r="AF211" s="98"/>
      <c r="AG211" s="98"/>
    </row>
    <row r="212" spans="2:33" s="10" customFormat="1" ht="11.25" customHeight="1">
      <c r="B212" s="34"/>
      <c r="C212" s="529"/>
      <c r="D212" s="530"/>
      <c r="E212" s="35"/>
      <c r="F212" s="31"/>
      <c r="G212" s="31"/>
      <c r="H212" s="9"/>
      <c r="N212" s="18"/>
      <c r="AC212" s="98"/>
      <c r="AD212" s="98"/>
      <c r="AE212" s="98"/>
      <c r="AF212" s="98"/>
      <c r="AG212" s="98"/>
    </row>
    <row r="213" spans="2:33" s="10" customFormat="1" ht="11.25" customHeight="1">
      <c r="B213" s="34"/>
      <c r="C213" s="529"/>
      <c r="D213" s="530"/>
      <c r="E213" s="35"/>
      <c r="F213" s="31"/>
      <c r="G213" s="31"/>
      <c r="H213" s="9"/>
      <c r="N213" s="18"/>
      <c r="AC213" s="98"/>
      <c r="AD213" s="98"/>
      <c r="AE213" s="98"/>
      <c r="AF213" s="98"/>
      <c r="AG213" s="98"/>
    </row>
    <row r="214" spans="2:33" s="10" customFormat="1" ht="11.25" customHeight="1">
      <c r="B214" s="34"/>
      <c r="C214" s="529"/>
      <c r="D214" s="530"/>
      <c r="E214" s="35"/>
      <c r="F214" s="31"/>
      <c r="G214" s="31"/>
      <c r="H214" s="9"/>
      <c r="N214" s="18"/>
      <c r="AC214" s="98"/>
      <c r="AD214" s="98"/>
      <c r="AE214" s="98"/>
      <c r="AF214" s="98"/>
      <c r="AG214" s="98"/>
    </row>
    <row r="215" spans="2:33" s="10" customFormat="1" ht="11.25" customHeight="1">
      <c r="B215" s="34"/>
      <c r="C215" s="529"/>
      <c r="D215" s="530"/>
      <c r="E215" s="35"/>
      <c r="F215" s="31"/>
      <c r="G215" s="31"/>
      <c r="H215" s="9"/>
      <c r="N215" s="18"/>
      <c r="AC215" s="98"/>
      <c r="AD215" s="98"/>
      <c r="AE215" s="98"/>
      <c r="AF215" s="98"/>
      <c r="AG215" s="98"/>
    </row>
    <row r="216" spans="2:33" s="10" customFormat="1" ht="11.25" customHeight="1">
      <c r="B216" s="34"/>
      <c r="C216" s="529"/>
      <c r="D216" s="530"/>
      <c r="E216" s="35"/>
      <c r="F216" s="31"/>
      <c r="G216" s="31"/>
      <c r="H216" s="9"/>
      <c r="N216" s="18"/>
      <c r="AC216" s="98"/>
      <c r="AD216" s="98"/>
      <c r="AE216" s="98"/>
      <c r="AF216" s="98"/>
      <c r="AG216" s="98"/>
    </row>
    <row r="217" spans="2:33" s="10" customFormat="1" ht="11.25" customHeight="1">
      <c r="B217" s="34"/>
      <c r="C217" s="529"/>
      <c r="D217" s="530"/>
      <c r="E217" s="35"/>
      <c r="F217" s="31"/>
      <c r="G217" s="31"/>
      <c r="H217" s="9"/>
      <c r="N217" s="18"/>
      <c r="AC217" s="98"/>
      <c r="AD217" s="98"/>
      <c r="AE217" s="98"/>
      <c r="AF217" s="98"/>
      <c r="AG217" s="98"/>
    </row>
    <row r="218" spans="2:33" s="10" customFormat="1" ht="11.25" customHeight="1">
      <c r="B218" s="34"/>
      <c r="C218" s="529"/>
      <c r="D218" s="530"/>
      <c r="E218" s="35"/>
      <c r="F218" s="31"/>
      <c r="G218" s="31"/>
      <c r="H218" s="9"/>
      <c r="N218" s="18"/>
      <c r="AC218" s="98"/>
      <c r="AD218" s="98"/>
      <c r="AE218" s="98"/>
      <c r="AF218" s="98"/>
      <c r="AG218" s="98"/>
    </row>
    <row r="219" spans="2:33" s="10" customFormat="1" ht="11.25" customHeight="1">
      <c r="B219" s="34"/>
      <c r="C219" s="529"/>
      <c r="D219" s="530"/>
      <c r="E219" s="35"/>
      <c r="F219" s="31"/>
      <c r="G219" s="31"/>
      <c r="H219" s="9"/>
      <c r="N219" s="18"/>
      <c r="AC219" s="98"/>
      <c r="AD219" s="98"/>
      <c r="AE219" s="98"/>
      <c r="AF219" s="98"/>
      <c r="AG219" s="98"/>
    </row>
    <row r="220" spans="2:33" s="10" customFormat="1" ht="11.25" customHeight="1">
      <c r="B220" s="34"/>
      <c r="C220" s="529"/>
      <c r="D220" s="530"/>
      <c r="E220" s="35"/>
      <c r="F220" s="31"/>
      <c r="G220" s="31"/>
      <c r="H220" s="9"/>
      <c r="N220" s="18"/>
      <c r="AC220" s="98"/>
      <c r="AD220" s="98"/>
      <c r="AE220" s="98"/>
      <c r="AF220" s="98"/>
      <c r="AG220" s="98"/>
    </row>
    <row r="221" spans="2:33" s="10" customFormat="1" ht="11.25" customHeight="1">
      <c r="B221" s="34"/>
      <c r="C221" s="529"/>
      <c r="D221" s="530"/>
      <c r="E221" s="35"/>
      <c r="F221" s="31"/>
      <c r="G221" s="31"/>
      <c r="H221" s="9"/>
      <c r="N221" s="18"/>
      <c r="AC221" s="98"/>
      <c r="AD221" s="98"/>
      <c r="AE221" s="98"/>
      <c r="AF221" s="98"/>
      <c r="AG221" s="98"/>
    </row>
    <row r="222" spans="2:33" s="10" customFormat="1" ht="11.25" customHeight="1">
      <c r="B222" s="34"/>
      <c r="C222" s="529"/>
      <c r="D222" s="530"/>
      <c r="E222" s="35"/>
      <c r="F222" s="31"/>
      <c r="G222" s="31"/>
      <c r="H222" s="9"/>
      <c r="N222" s="18"/>
      <c r="AC222" s="98"/>
      <c r="AD222" s="98"/>
      <c r="AE222" s="98"/>
      <c r="AF222" s="98"/>
      <c r="AG222" s="98"/>
    </row>
    <row r="223" spans="2:33" s="10" customFormat="1" ht="11.25" customHeight="1">
      <c r="B223" s="34"/>
      <c r="C223" s="529"/>
      <c r="D223" s="530"/>
      <c r="E223" s="35"/>
      <c r="F223" s="31"/>
      <c r="G223" s="31"/>
      <c r="H223" s="9"/>
      <c r="N223" s="18"/>
      <c r="AC223" s="98"/>
      <c r="AD223" s="98"/>
      <c r="AE223" s="98"/>
      <c r="AF223" s="98"/>
      <c r="AG223" s="98"/>
    </row>
    <row r="224" spans="2:33" s="10" customFormat="1" ht="11.25" customHeight="1">
      <c r="B224" s="34"/>
      <c r="C224" s="529"/>
      <c r="D224" s="530"/>
      <c r="E224" s="35"/>
      <c r="F224" s="31"/>
      <c r="G224" s="31"/>
      <c r="H224" s="9"/>
      <c r="N224" s="18"/>
      <c r="AC224" s="98"/>
      <c r="AD224" s="98"/>
      <c r="AE224" s="98"/>
      <c r="AF224" s="98"/>
      <c r="AG224" s="98"/>
    </row>
    <row r="225" spans="2:33" s="10" customFormat="1" ht="11.25" customHeight="1">
      <c r="B225" s="34"/>
      <c r="C225" s="529"/>
      <c r="D225" s="530"/>
      <c r="E225" s="35"/>
      <c r="F225" s="31"/>
      <c r="G225" s="31"/>
      <c r="H225" s="9"/>
      <c r="N225" s="18"/>
      <c r="AC225" s="98"/>
      <c r="AD225" s="98"/>
      <c r="AE225" s="98"/>
      <c r="AF225" s="98"/>
      <c r="AG225" s="98"/>
    </row>
    <row r="226" spans="2:33" s="10" customFormat="1" ht="11.25" customHeight="1">
      <c r="B226" s="34"/>
      <c r="C226" s="529"/>
      <c r="D226" s="530"/>
      <c r="E226" s="35"/>
      <c r="F226" s="31"/>
      <c r="G226" s="31"/>
      <c r="H226" s="9"/>
      <c r="N226" s="18"/>
      <c r="AC226" s="98"/>
      <c r="AD226" s="98"/>
      <c r="AE226" s="98"/>
      <c r="AF226" s="98"/>
      <c r="AG226" s="98"/>
    </row>
    <row r="227" spans="2:33" s="10" customFormat="1" ht="11.25" customHeight="1">
      <c r="B227" s="34"/>
      <c r="C227" s="529"/>
      <c r="D227" s="530"/>
      <c r="E227" s="35"/>
      <c r="F227" s="31"/>
      <c r="G227" s="31"/>
      <c r="H227" s="9"/>
      <c r="N227" s="18"/>
      <c r="AC227" s="98"/>
      <c r="AD227" s="98"/>
      <c r="AE227" s="98"/>
      <c r="AF227" s="98"/>
      <c r="AG227" s="98"/>
    </row>
    <row r="228" spans="2:33" s="10" customFormat="1" ht="11.25" customHeight="1">
      <c r="B228" s="34"/>
      <c r="C228" s="529"/>
      <c r="D228" s="530"/>
      <c r="E228" s="35"/>
      <c r="F228" s="31"/>
      <c r="G228" s="31"/>
      <c r="H228" s="9"/>
      <c r="N228" s="18"/>
      <c r="AC228" s="98"/>
      <c r="AD228" s="98"/>
      <c r="AE228" s="98"/>
      <c r="AF228" s="98"/>
      <c r="AG228" s="98"/>
    </row>
    <row r="229" spans="2:33" s="10" customFormat="1" ht="11.25" customHeight="1">
      <c r="B229" s="34"/>
      <c r="C229" s="529"/>
      <c r="D229" s="530"/>
      <c r="E229" s="35"/>
      <c r="F229" s="31"/>
      <c r="G229" s="31"/>
      <c r="H229" s="9"/>
      <c r="N229" s="18"/>
      <c r="AC229" s="98"/>
      <c r="AD229" s="98"/>
      <c r="AE229" s="98"/>
      <c r="AF229" s="98"/>
      <c r="AG229" s="98"/>
    </row>
    <row r="230" spans="2:33" s="10" customFormat="1" ht="11.25" customHeight="1">
      <c r="B230" s="34"/>
      <c r="C230" s="529"/>
      <c r="D230" s="530"/>
      <c r="E230" s="35"/>
      <c r="F230" s="31"/>
      <c r="G230" s="31"/>
      <c r="H230" s="9"/>
      <c r="N230" s="18"/>
      <c r="AC230" s="98"/>
      <c r="AD230" s="98"/>
      <c r="AE230" s="98"/>
      <c r="AF230" s="98"/>
      <c r="AG230" s="98"/>
    </row>
    <row r="231" spans="2:33" s="10" customFormat="1" ht="11.25" customHeight="1">
      <c r="B231" s="34"/>
      <c r="C231" s="529"/>
      <c r="D231" s="530"/>
      <c r="E231" s="35"/>
      <c r="F231" s="31"/>
      <c r="G231" s="31"/>
      <c r="H231" s="9"/>
      <c r="N231" s="18"/>
      <c r="AC231" s="98"/>
      <c r="AD231" s="98"/>
      <c r="AE231" s="98"/>
      <c r="AF231" s="98"/>
      <c r="AG231" s="98"/>
    </row>
    <row r="232" spans="2:33" s="10" customFormat="1" ht="11.25" customHeight="1">
      <c r="B232" s="34"/>
      <c r="C232" s="529"/>
      <c r="D232" s="530"/>
      <c r="E232" s="35"/>
      <c r="F232" s="31"/>
      <c r="G232" s="31"/>
      <c r="H232" s="9"/>
      <c r="N232" s="18"/>
      <c r="AC232" s="98"/>
      <c r="AD232" s="98"/>
      <c r="AE232" s="98"/>
      <c r="AF232" s="98"/>
      <c r="AG232" s="98"/>
    </row>
    <row r="233" spans="2:33" s="10" customFormat="1" ht="11.25" customHeight="1">
      <c r="B233" s="34"/>
      <c r="C233" s="529"/>
      <c r="D233" s="530"/>
      <c r="E233" s="35"/>
      <c r="F233" s="31"/>
      <c r="G233" s="31"/>
      <c r="H233" s="9"/>
      <c r="N233" s="18"/>
      <c r="AC233" s="98"/>
      <c r="AD233" s="98"/>
      <c r="AE233" s="98"/>
      <c r="AF233" s="98"/>
      <c r="AG233" s="98"/>
    </row>
    <row r="234" spans="2:33" s="10" customFormat="1" ht="11.25" customHeight="1">
      <c r="B234" s="34"/>
      <c r="C234" s="529"/>
      <c r="D234" s="530"/>
      <c r="E234" s="35"/>
      <c r="F234" s="31"/>
      <c r="G234" s="31"/>
      <c r="H234" s="9"/>
      <c r="N234" s="18"/>
      <c r="AC234" s="98"/>
      <c r="AD234" s="98"/>
      <c r="AE234" s="98"/>
      <c r="AF234" s="98"/>
      <c r="AG234" s="98"/>
    </row>
    <row r="235" spans="2:33" s="10" customFormat="1" ht="11.25" customHeight="1">
      <c r="B235" s="34"/>
      <c r="C235" s="529"/>
      <c r="D235" s="530"/>
      <c r="E235" s="35"/>
      <c r="F235" s="31"/>
      <c r="G235" s="31"/>
      <c r="H235" s="9"/>
      <c r="N235" s="18"/>
      <c r="AC235" s="98"/>
      <c r="AD235" s="98"/>
      <c r="AE235" s="98"/>
      <c r="AF235" s="98"/>
      <c r="AG235" s="98"/>
    </row>
    <row r="236" spans="2:33" s="10" customFormat="1" ht="11.25" customHeight="1">
      <c r="B236" s="34"/>
      <c r="C236" s="529"/>
      <c r="D236" s="530"/>
      <c r="E236" s="35"/>
      <c r="F236" s="31"/>
      <c r="G236" s="31"/>
      <c r="H236" s="9"/>
      <c r="N236" s="18"/>
      <c r="AC236" s="98"/>
      <c r="AD236" s="98"/>
      <c r="AE236" s="98"/>
      <c r="AF236" s="98"/>
      <c r="AG236" s="98"/>
    </row>
    <row r="237" spans="2:33" s="10" customFormat="1" ht="11.25" customHeight="1">
      <c r="B237" s="34"/>
      <c r="C237" s="529"/>
      <c r="D237" s="530"/>
      <c r="E237" s="35"/>
      <c r="F237" s="31"/>
      <c r="G237" s="31"/>
      <c r="H237" s="9"/>
      <c r="N237" s="18"/>
      <c r="AC237" s="98"/>
      <c r="AD237" s="98"/>
      <c r="AE237" s="98"/>
      <c r="AF237" s="98"/>
      <c r="AG237" s="98"/>
    </row>
    <row r="238" spans="2:33" s="10" customFormat="1" ht="11.25" customHeight="1">
      <c r="B238" s="34"/>
      <c r="C238" s="529"/>
      <c r="D238" s="530"/>
      <c r="E238" s="35"/>
      <c r="F238" s="31"/>
      <c r="G238" s="31"/>
      <c r="H238" s="9"/>
      <c r="N238" s="18"/>
      <c r="AC238" s="98"/>
      <c r="AD238" s="98"/>
      <c r="AE238" s="98"/>
      <c r="AF238" s="98"/>
      <c r="AG238" s="98"/>
    </row>
    <row r="239" spans="2:33" s="10" customFormat="1" ht="11.25" customHeight="1">
      <c r="B239" s="34"/>
      <c r="C239" s="529"/>
      <c r="D239" s="530"/>
      <c r="E239" s="35"/>
      <c r="F239" s="31"/>
      <c r="G239" s="31"/>
      <c r="H239" s="9"/>
      <c r="N239" s="18"/>
      <c r="AC239" s="98"/>
      <c r="AD239" s="98"/>
      <c r="AE239" s="98"/>
      <c r="AF239" s="98"/>
      <c r="AG239" s="98"/>
    </row>
    <row r="240" spans="2:33" s="10" customFormat="1" ht="11.25" customHeight="1">
      <c r="B240" s="34"/>
      <c r="C240" s="529"/>
      <c r="D240" s="530"/>
      <c r="E240" s="35"/>
      <c r="F240" s="31"/>
      <c r="G240" s="31"/>
      <c r="H240" s="9"/>
      <c r="N240" s="18"/>
      <c r="AC240" s="98"/>
      <c r="AD240" s="98"/>
      <c r="AE240" s="98"/>
      <c r="AF240" s="98"/>
      <c r="AG240" s="98"/>
    </row>
    <row r="241" spans="2:33" s="10" customFormat="1" ht="11.25" customHeight="1">
      <c r="B241" s="34"/>
      <c r="C241" s="529"/>
      <c r="D241" s="530"/>
      <c r="E241" s="35"/>
      <c r="F241" s="31"/>
      <c r="G241" s="31"/>
      <c r="H241" s="9"/>
      <c r="N241" s="18"/>
      <c r="AC241" s="98"/>
      <c r="AD241" s="98"/>
      <c r="AE241" s="98"/>
      <c r="AF241" s="98"/>
      <c r="AG241" s="98"/>
    </row>
    <row r="242" spans="2:33" s="10" customFormat="1" ht="11.25" customHeight="1">
      <c r="B242" s="34"/>
      <c r="C242" s="529"/>
      <c r="D242" s="530"/>
      <c r="E242" s="35"/>
      <c r="F242" s="31"/>
      <c r="G242" s="31"/>
      <c r="H242" s="9"/>
      <c r="N242" s="18"/>
      <c r="AC242" s="98"/>
      <c r="AD242" s="98"/>
      <c r="AE242" s="98"/>
      <c r="AF242" s="98"/>
      <c r="AG242" s="98"/>
    </row>
    <row r="243" spans="2:33" s="10" customFormat="1" ht="11.25" customHeight="1">
      <c r="B243" s="34"/>
      <c r="C243" s="529"/>
      <c r="D243" s="530"/>
      <c r="E243" s="35"/>
      <c r="F243" s="31"/>
      <c r="G243" s="31"/>
      <c r="H243" s="9"/>
      <c r="N243" s="18"/>
      <c r="AC243" s="98"/>
      <c r="AD243" s="98"/>
      <c r="AE243" s="98"/>
      <c r="AF243" s="98"/>
      <c r="AG243" s="98"/>
    </row>
    <row r="244" spans="2:33" s="10" customFormat="1" ht="11.25" customHeight="1">
      <c r="B244" s="34"/>
      <c r="C244" s="529"/>
      <c r="D244" s="530"/>
      <c r="E244" s="35"/>
      <c r="F244" s="31"/>
      <c r="G244" s="31"/>
      <c r="H244" s="9"/>
      <c r="N244" s="18"/>
      <c r="AC244" s="98"/>
      <c r="AD244" s="98"/>
      <c r="AE244" s="98"/>
      <c r="AF244" s="98"/>
      <c r="AG244" s="98"/>
    </row>
    <row r="245" spans="2:33" s="10" customFormat="1" ht="11.25" customHeight="1">
      <c r="B245" s="34"/>
      <c r="C245" s="529"/>
      <c r="D245" s="530"/>
      <c r="E245" s="35"/>
      <c r="F245" s="31"/>
      <c r="G245" s="31"/>
      <c r="H245" s="9"/>
      <c r="N245" s="18"/>
      <c r="AC245" s="98"/>
      <c r="AD245" s="98"/>
      <c r="AE245" s="98"/>
      <c r="AF245" s="98"/>
      <c r="AG245" s="98"/>
    </row>
    <row r="246" spans="2:33" s="10" customFormat="1" ht="11.25" customHeight="1">
      <c r="B246" s="34"/>
      <c r="C246" s="529"/>
      <c r="D246" s="530"/>
      <c r="E246" s="35"/>
      <c r="F246" s="31"/>
      <c r="G246" s="31"/>
      <c r="H246" s="9"/>
      <c r="N246" s="18"/>
      <c r="AC246" s="98"/>
      <c r="AD246" s="98"/>
      <c r="AE246" s="98"/>
      <c r="AF246" s="98"/>
      <c r="AG246" s="98"/>
    </row>
    <row r="247" spans="2:33" s="10" customFormat="1" ht="11.25" customHeight="1">
      <c r="B247" s="34"/>
      <c r="C247" s="529"/>
      <c r="D247" s="530"/>
      <c r="E247" s="35"/>
      <c r="F247" s="31"/>
      <c r="G247" s="31"/>
      <c r="H247" s="9"/>
      <c r="N247" s="18"/>
      <c r="AC247" s="98"/>
      <c r="AD247" s="98"/>
      <c r="AE247" s="98"/>
      <c r="AF247" s="98"/>
      <c r="AG247" s="98"/>
    </row>
    <row r="248" spans="2:33" s="10" customFormat="1" ht="11.25" customHeight="1">
      <c r="B248" s="34"/>
      <c r="C248" s="529"/>
      <c r="D248" s="530"/>
      <c r="E248" s="35"/>
      <c r="F248" s="31"/>
      <c r="G248" s="31"/>
      <c r="H248" s="9"/>
      <c r="N248" s="18"/>
      <c r="AC248" s="98"/>
      <c r="AD248" s="98"/>
      <c r="AE248" s="98"/>
      <c r="AF248" s="98"/>
      <c r="AG248" s="98"/>
    </row>
    <row r="249" spans="2:33" s="10" customFormat="1" ht="11.25" customHeight="1">
      <c r="B249" s="34"/>
      <c r="C249" s="529"/>
      <c r="D249" s="530"/>
      <c r="E249" s="35"/>
      <c r="F249" s="31"/>
      <c r="G249" s="31"/>
      <c r="H249" s="9"/>
      <c r="N249" s="18"/>
      <c r="AC249" s="98"/>
      <c r="AD249" s="98"/>
      <c r="AE249" s="98"/>
      <c r="AF249" s="98"/>
      <c r="AG249" s="98"/>
    </row>
    <row r="250" spans="2:33" s="10" customFormat="1" ht="11.25" customHeight="1">
      <c r="B250" s="34"/>
      <c r="C250" s="529"/>
      <c r="D250" s="530"/>
      <c r="E250" s="35"/>
      <c r="F250" s="31"/>
      <c r="G250" s="31"/>
      <c r="H250" s="9"/>
      <c r="N250" s="18"/>
      <c r="AC250" s="98"/>
      <c r="AD250" s="98"/>
      <c r="AE250" s="98"/>
      <c r="AF250" s="98"/>
      <c r="AG250" s="98"/>
    </row>
    <row r="251" spans="2:33" s="10" customFormat="1" ht="11.25" customHeight="1">
      <c r="B251" s="34"/>
      <c r="C251" s="529"/>
      <c r="D251" s="530"/>
      <c r="E251" s="35"/>
      <c r="F251" s="31"/>
      <c r="G251" s="31"/>
      <c r="H251" s="9"/>
      <c r="N251" s="18"/>
      <c r="AC251" s="98"/>
      <c r="AD251" s="98"/>
      <c r="AE251" s="98"/>
      <c r="AF251" s="98"/>
      <c r="AG251" s="98"/>
    </row>
    <row r="252" spans="2:33" s="10" customFormat="1" ht="11.25" customHeight="1">
      <c r="B252" s="34"/>
      <c r="C252" s="529"/>
      <c r="D252" s="530"/>
      <c r="E252" s="35"/>
      <c r="F252" s="31"/>
      <c r="G252" s="31"/>
      <c r="H252" s="9"/>
      <c r="N252" s="18"/>
      <c r="AC252" s="98"/>
      <c r="AD252" s="98"/>
      <c r="AE252" s="98"/>
      <c r="AF252" s="98"/>
      <c r="AG252" s="98"/>
    </row>
    <row r="253" spans="2:33" s="10" customFormat="1" ht="11.25" customHeight="1">
      <c r="B253" s="34"/>
      <c r="C253" s="529"/>
      <c r="D253" s="530"/>
      <c r="E253" s="35"/>
      <c r="F253" s="31"/>
      <c r="G253" s="31"/>
      <c r="H253" s="9"/>
      <c r="N253" s="18"/>
      <c r="AC253" s="98"/>
      <c r="AD253" s="98"/>
      <c r="AE253" s="98"/>
      <c r="AF253" s="98"/>
      <c r="AG253" s="98"/>
    </row>
    <row r="254" spans="2:33" s="10" customFormat="1" ht="11.25" customHeight="1">
      <c r="B254" s="34"/>
      <c r="C254" s="529"/>
      <c r="D254" s="530"/>
      <c r="E254" s="35"/>
      <c r="F254" s="31"/>
      <c r="G254" s="31"/>
      <c r="H254" s="9"/>
      <c r="N254" s="18"/>
      <c r="AC254" s="98"/>
      <c r="AD254" s="98"/>
      <c r="AE254" s="98"/>
      <c r="AF254" s="98"/>
      <c r="AG254" s="98"/>
    </row>
    <row r="255" spans="2:33" s="10" customFormat="1" ht="11.25" customHeight="1">
      <c r="B255" s="34"/>
      <c r="C255" s="529"/>
      <c r="D255" s="530"/>
      <c r="E255" s="35"/>
      <c r="F255" s="31"/>
      <c r="G255" s="31"/>
      <c r="H255" s="9"/>
      <c r="N255" s="18"/>
      <c r="AC255" s="98"/>
      <c r="AD255" s="98"/>
      <c r="AE255" s="98"/>
      <c r="AF255" s="98"/>
      <c r="AG255" s="98"/>
    </row>
    <row r="256" spans="2:33" s="10" customFormat="1" ht="11.25" customHeight="1">
      <c r="B256" s="34"/>
      <c r="C256" s="529"/>
      <c r="D256" s="530"/>
      <c r="E256" s="35"/>
      <c r="F256" s="31"/>
      <c r="G256" s="31"/>
      <c r="H256" s="9"/>
      <c r="N256" s="18"/>
      <c r="AC256" s="98"/>
      <c r="AD256" s="98"/>
      <c r="AE256" s="98"/>
      <c r="AF256" s="98"/>
      <c r="AG256" s="98"/>
    </row>
    <row r="257" spans="2:33" s="10" customFormat="1" ht="11.25" customHeight="1">
      <c r="B257" s="34"/>
      <c r="C257" s="529"/>
      <c r="D257" s="530"/>
      <c r="E257" s="35"/>
      <c r="F257" s="31"/>
      <c r="G257" s="31"/>
      <c r="H257" s="9"/>
      <c r="N257" s="18"/>
      <c r="AC257" s="98"/>
      <c r="AD257" s="98"/>
      <c r="AE257" s="98"/>
      <c r="AF257" s="98"/>
      <c r="AG257" s="98"/>
    </row>
    <row r="258" spans="2:33" s="10" customFormat="1" ht="11.25" customHeight="1">
      <c r="B258" s="34"/>
      <c r="C258" s="529"/>
      <c r="D258" s="530"/>
      <c r="E258" s="35"/>
      <c r="F258" s="31"/>
      <c r="G258" s="31"/>
      <c r="H258" s="9"/>
      <c r="N258" s="18"/>
      <c r="AC258" s="98"/>
      <c r="AD258" s="98"/>
      <c r="AE258" s="98"/>
      <c r="AF258" s="98"/>
      <c r="AG258" s="98"/>
    </row>
    <row r="259" spans="2:33" s="10" customFormat="1" ht="11.25" customHeight="1">
      <c r="B259" s="34"/>
      <c r="C259" s="529"/>
      <c r="D259" s="530"/>
      <c r="E259" s="35"/>
      <c r="F259" s="31"/>
      <c r="G259" s="31"/>
      <c r="H259" s="9"/>
      <c r="N259" s="18"/>
      <c r="AC259" s="98"/>
      <c r="AD259" s="98"/>
      <c r="AE259" s="98"/>
      <c r="AF259" s="98"/>
      <c r="AG259" s="98"/>
    </row>
    <row r="260" spans="2:33" s="10" customFormat="1" ht="11.25" customHeight="1">
      <c r="B260" s="34"/>
      <c r="C260" s="529"/>
      <c r="D260" s="530"/>
      <c r="E260" s="35"/>
      <c r="F260" s="31"/>
      <c r="G260" s="31"/>
      <c r="H260" s="9"/>
      <c r="N260" s="18"/>
      <c r="AC260" s="98"/>
      <c r="AD260" s="98"/>
      <c r="AE260" s="98"/>
      <c r="AF260" s="98"/>
      <c r="AG260" s="98"/>
    </row>
    <row r="261" spans="2:33" s="10" customFormat="1" ht="11.25" customHeight="1">
      <c r="B261" s="34"/>
      <c r="C261" s="529"/>
      <c r="D261" s="530"/>
      <c r="E261" s="35"/>
      <c r="F261" s="31"/>
      <c r="G261" s="31"/>
      <c r="H261" s="9"/>
      <c r="N261" s="18"/>
      <c r="AC261" s="98"/>
      <c r="AD261" s="98"/>
      <c r="AE261" s="98"/>
      <c r="AF261" s="98"/>
      <c r="AG261" s="98"/>
    </row>
    <row r="262" spans="2:33" s="10" customFormat="1" ht="11.25" customHeight="1">
      <c r="B262" s="34"/>
      <c r="C262" s="529"/>
      <c r="D262" s="530"/>
      <c r="E262" s="35"/>
      <c r="F262" s="31"/>
      <c r="G262" s="31"/>
      <c r="H262" s="9"/>
      <c r="N262" s="18"/>
      <c r="AC262" s="98"/>
      <c r="AD262" s="98"/>
      <c r="AE262" s="98"/>
      <c r="AF262" s="98"/>
      <c r="AG262" s="98"/>
    </row>
    <row r="263" spans="2:33" s="10" customFormat="1" ht="11.25" customHeight="1">
      <c r="B263" s="34"/>
      <c r="C263" s="529"/>
      <c r="D263" s="530"/>
      <c r="E263" s="35"/>
      <c r="F263" s="31"/>
      <c r="G263" s="31"/>
      <c r="H263" s="9"/>
      <c r="N263" s="18"/>
      <c r="AC263" s="98"/>
      <c r="AD263" s="98"/>
      <c r="AE263" s="98"/>
      <c r="AF263" s="98"/>
      <c r="AG263" s="98"/>
    </row>
    <row r="264" spans="2:33" s="10" customFormat="1" ht="11.25" customHeight="1">
      <c r="B264" s="34"/>
      <c r="C264" s="529"/>
      <c r="D264" s="530"/>
      <c r="E264" s="35"/>
      <c r="F264" s="31"/>
      <c r="G264" s="31"/>
      <c r="H264" s="9"/>
      <c r="N264" s="18"/>
      <c r="AC264" s="98"/>
      <c r="AD264" s="98"/>
      <c r="AE264" s="98"/>
      <c r="AF264" s="98"/>
      <c r="AG264" s="98"/>
    </row>
    <row r="265" spans="2:33" s="10" customFormat="1" ht="11.25" customHeight="1">
      <c r="B265" s="34"/>
      <c r="C265" s="529"/>
      <c r="D265" s="530"/>
      <c r="E265" s="35"/>
      <c r="F265" s="31"/>
      <c r="G265" s="31"/>
      <c r="H265" s="9"/>
      <c r="N265" s="18"/>
      <c r="AC265" s="98"/>
      <c r="AD265" s="98"/>
      <c r="AE265" s="98"/>
      <c r="AF265" s="98"/>
      <c r="AG265" s="98"/>
    </row>
    <row r="266" spans="2:33" s="10" customFormat="1" ht="11.25" customHeight="1">
      <c r="B266" s="34"/>
      <c r="C266" s="529"/>
      <c r="D266" s="530"/>
      <c r="E266" s="35"/>
      <c r="F266" s="31"/>
      <c r="G266" s="31"/>
      <c r="H266" s="9"/>
      <c r="N266" s="18"/>
      <c r="AC266" s="98"/>
      <c r="AD266" s="98"/>
      <c r="AE266" s="98"/>
      <c r="AF266" s="98"/>
      <c r="AG266" s="98"/>
    </row>
    <row r="267" spans="2:33" s="10" customFormat="1" ht="11.25" customHeight="1">
      <c r="B267" s="34"/>
      <c r="C267" s="529"/>
      <c r="D267" s="530"/>
      <c r="E267" s="35"/>
      <c r="F267" s="31"/>
      <c r="G267" s="31"/>
      <c r="H267" s="9"/>
      <c r="N267" s="18"/>
      <c r="AC267" s="98"/>
      <c r="AD267" s="98"/>
      <c r="AE267" s="98"/>
      <c r="AF267" s="98"/>
      <c r="AG267" s="98"/>
    </row>
    <row r="268" spans="2:33" s="10" customFormat="1" ht="11.25" customHeight="1">
      <c r="B268" s="34"/>
      <c r="C268" s="529"/>
      <c r="D268" s="530"/>
      <c r="E268" s="35"/>
      <c r="F268" s="31"/>
      <c r="G268" s="31"/>
      <c r="H268" s="9"/>
      <c r="N268" s="18"/>
      <c r="AC268" s="98"/>
      <c r="AD268" s="98"/>
      <c r="AE268" s="98"/>
      <c r="AF268" s="98"/>
      <c r="AG268" s="98"/>
    </row>
    <row r="269" spans="2:33" s="10" customFormat="1" ht="11.25" customHeight="1">
      <c r="B269" s="34"/>
      <c r="C269" s="529"/>
      <c r="D269" s="530"/>
      <c r="E269" s="35"/>
      <c r="F269" s="31"/>
      <c r="G269" s="31"/>
      <c r="H269" s="9"/>
      <c r="N269" s="18"/>
      <c r="AC269" s="98"/>
      <c r="AD269" s="98"/>
      <c r="AE269" s="98"/>
      <c r="AF269" s="98"/>
      <c r="AG269" s="98"/>
    </row>
    <row r="270" spans="2:33" s="10" customFormat="1" ht="11.25" customHeight="1">
      <c r="B270" s="34"/>
      <c r="C270" s="529"/>
      <c r="D270" s="530"/>
      <c r="E270" s="35"/>
      <c r="F270" s="31"/>
      <c r="G270" s="31"/>
      <c r="H270" s="9"/>
      <c r="N270" s="18"/>
      <c r="AC270" s="98"/>
      <c r="AD270" s="98"/>
      <c r="AE270" s="98"/>
      <c r="AF270" s="98"/>
      <c r="AG270" s="98"/>
    </row>
    <row r="271" spans="2:33" s="10" customFormat="1" ht="11.25" customHeight="1">
      <c r="B271" s="34"/>
      <c r="C271" s="529"/>
      <c r="D271" s="530"/>
      <c r="E271" s="35"/>
      <c r="F271" s="31"/>
      <c r="G271" s="31"/>
      <c r="H271" s="9"/>
      <c r="N271" s="18"/>
      <c r="AC271" s="98"/>
      <c r="AD271" s="98"/>
      <c r="AE271" s="98"/>
      <c r="AF271" s="98"/>
      <c r="AG271" s="98"/>
    </row>
    <row r="272" spans="2:33" s="10" customFormat="1" ht="11.25" customHeight="1">
      <c r="B272" s="34"/>
      <c r="C272" s="529"/>
      <c r="D272" s="530"/>
      <c r="E272" s="35"/>
      <c r="F272" s="31"/>
      <c r="G272" s="31"/>
      <c r="H272" s="9"/>
      <c r="N272" s="18"/>
      <c r="AC272" s="98"/>
      <c r="AD272" s="98"/>
      <c r="AE272" s="98"/>
      <c r="AF272" s="98"/>
      <c r="AG272" s="98"/>
    </row>
    <row r="273" spans="2:33" s="10" customFormat="1" ht="11.25" customHeight="1">
      <c r="B273" s="34"/>
      <c r="C273" s="529"/>
      <c r="D273" s="530"/>
      <c r="E273" s="35"/>
      <c r="F273" s="31"/>
      <c r="G273" s="31"/>
      <c r="H273" s="9"/>
      <c r="N273" s="18"/>
      <c r="AC273" s="98"/>
      <c r="AD273" s="98"/>
      <c r="AE273" s="98"/>
      <c r="AF273" s="98"/>
      <c r="AG273" s="98"/>
    </row>
    <row r="274" spans="2:33" s="10" customFormat="1" ht="11.25" customHeight="1">
      <c r="B274" s="34"/>
      <c r="C274" s="529"/>
      <c r="D274" s="530"/>
      <c r="E274" s="35"/>
      <c r="F274" s="31"/>
      <c r="G274" s="31"/>
      <c r="H274" s="9"/>
      <c r="N274" s="18"/>
      <c r="AC274" s="98"/>
      <c r="AD274" s="98"/>
      <c r="AE274" s="98"/>
      <c r="AF274" s="98"/>
      <c r="AG274" s="98"/>
    </row>
    <row r="275" spans="2:33" s="10" customFormat="1" ht="11.25" customHeight="1">
      <c r="B275" s="34"/>
      <c r="C275" s="529"/>
      <c r="D275" s="530"/>
      <c r="E275" s="35"/>
      <c r="F275" s="31"/>
      <c r="G275" s="31"/>
      <c r="H275" s="9"/>
      <c r="N275" s="18"/>
      <c r="AC275" s="98"/>
      <c r="AD275" s="98"/>
      <c r="AE275" s="98"/>
      <c r="AF275" s="98"/>
      <c r="AG275" s="98"/>
    </row>
    <row r="276" spans="2:14" s="10" customFormat="1" ht="11.25" customHeight="1">
      <c r="B276" s="34"/>
      <c r="C276" s="529"/>
      <c r="D276" s="530"/>
      <c r="E276" s="35"/>
      <c r="F276" s="31"/>
      <c r="G276" s="31"/>
      <c r="H276" s="9"/>
      <c r="N276" s="18"/>
    </row>
    <row r="277" spans="2:14" s="10" customFormat="1" ht="11.25" customHeight="1">
      <c r="B277" s="34"/>
      <c r="C277" s="529"/>
      <c r="D277" s="530"/>
      <c r="E277" s="35"/>
      <c r="F277" s="31"/>
      <c r="G277" s="31"/>
      <c r="H277" s="9"/>
      <c r="N277" s="18"/>
    </row>
    <row r="278" spans="2:14" s="10" customFormat="1" ht="11.25" customHeight="1">
      <c r="B278" s="34"/>
      <c r="C278" s="529"/>
      <c r="D278" s="530"/>
      <c r="E278" s="35"/>
      <c r="F278" s="31"/>
      <c r="G278" s="31"/>
      <c r="H278" s="9"/>
      <c r="N278" s="18"/>
    </row>
    <row r="279" spans="2:14" s="10" customFormat="1" ht="11.25" customHeight="1">
      <c r="B279" s="34"/>
      <c r="C279" s="529"/>
      <c r="D279" s="530"/>
      <c r="E279" s="35"/>
      <c r="F279" s="31"/>
      <c r="G279" s="31"/>
      <c r="H279" s="9"/>
      <c r="N279" s="18"/>
    </row>
    <row r="280" spans="2:14" s="10" customFormat="1" ht="11.25" customHeight="1">
      <c r="B280" s="34"/>
      <c r="C280" s="529"/>
      <c r="D280" s="530"/>
      <c r="E280" s="35"/>
      <c r="F280" s="31"/>
      <c r="G280" s="31"/>
      <c r="H280" s="9"/>
      <c r="N280" s="18"/>
    </row>
    <row r="281" spans="2:14" s="10" customFormat="1" ht="11.25" customHeight="1">
      <c r="B281" s="34"/>
      <c r="C281" s="529"/>
      <c r="D281" s="530"/>
      <c r="E281" s="35"/>
      <c r="F281" s="31"/>
      <c r="G281" s="31"/>
      <c r="H281" s="9"/>
      <c r="N281" s="18"/>
    </row>
    <row r="282" spans="2:14" s="10" customFormat="1" ht="11.25" customHeight="1">
      <c r="B282" s="34"/>
      <c r="C282" s="529"/>
      <c r="D282" s="530"/>
      <c r="E282" s="35"/>
      <c r="F282" s="31"/>
      <c r="G282" s="31"/>
      <c r="H282" s="9"/>
      <c r="N282" s="18"/>
    </row>
    <row r="283" spans="2:14" s="10" customFormat="1" ht="11.25" customHeight="1">
      <c r="B283" s="34"/>
      <c r="C283" s="529"/>
      <c r="D283" s="530"/>
      <c r="E283" s="35"/>
      <c r="F283" s="31"/>
      <c r="G283" s="31"/>
      <c r="H283" s="9"/>
      <c r="N283" s="18"/>
    </row>
    <row r="284" spans="2:14" s="10" customFormat="1" ht="11.25" customHeight="1">
      <c r="B284" s="34"/>
      <c r="C284" s="529"/>
      <c r="D284" s="530"/>
      <c r="E284" s="35"/>
      <c r="F284" s="31"/>
      <c r="G284" s="31"/>
      <c r="H284" s="9"/>
      <c r="N284" s="18"/>
    </row>
    <row r="285" spans="2:14" s="10" customFormat="1" ht="11.25" customHeight="1">
      <c r="B285" s="34"/>
      <c r="C285" s="529"/>
      <c r="D285" s="530"/>
      <c r="E285" s="35"/>
      <c r="F285" s="31"/>
      <c r="G285" s="31"/>
      <c r="H285" s="9"/>
      <c r="N285" s="18"/>
    </row>
    <row r="286" spans="2:14" s="10" customFormat="1" ht="11.25" customHeight="1">
      <c r="B286" s="34"/>
      <c r="C286" s="529"/>
      <c r="D286" s="530"/>
      <c r="E286" s="35"/>
      <c r="F286" s="31"/>
      <c r="G286" s="31"/>
      <c r="H286" s="9"/>
      <c r="N286" s="18"/>
    </row>
    <row r="287" spans="2:14" s="10" customFormat="1" ht="11.25" customHeight="1">
      <c r="B287" s="34"/>
      <c r="C287" s="529"/>
      <c r="D287" s="530"/>
      <c r="E287" s="35"/>
      <c r="F287" s="31"/>
      <c r="G287" s="31"/>
      <c r="H287" s="9"/>
      <c r="N287" s="18"/>
    </row>
    <row r="288" spans="2:14" s="10" customFormat="1" ht="11.25" customHeight="1">
      <c r="B288" s="34"/>
      <c r="C288" s="529"/>
      <c r="D288" s="530"/>
      <c r="E288" s="35"/>
      <c r="F288" s="31"/>
      <c r="G288" s="31"/>
      <c r="H288" s="9"/>
      <c r="N288" s="18"/>
    </row>
    <row r="289" spans="2:14" s="10" customFormat="1" ht="11.25" customHeight="1">
      <c r="B289" s="34"/>
      <c r="C289" s="529"/>
      <c r="D289" s="530"/>
      <c r="E289" s="35"/>
      <c r="F289" s="31"/>
      <c r="G289" s="31"/>
      <c r="H289" s="9"/>
      <c r="N289" s="18"/>
    </row>
    <row r="290" spans="2:14" s="10" customFormat="1" ht="11.25" customHeight="1">
      <c r="B290" s="34"/>
      <c r="C290" s="529"/>
      <c r="D290" s="530"/>
      <c r="E290" s="35"/>
      <c r="F290" s="31"/>
      <c r="G290" s="31"/>
      <c r="H290" s="9"/>
      <c r="N290" s="18"/>
    </row>
    <row r="291" spans="2:14" s="10" customFormat="1" ht="11.25" customHeight="1">
      <c r="B291" s="34"/>
      <c r="C291" s="529"/>
      <c r="D291" s="530"/>
      <c r="E291" s="35"/>
      <c r="F291" s="31"/>
      <c r="G291" s="31"/>
      <c r="H291" s="9"/>
      <c r="N291" s="18"/>
    </row>
    <row r="292" spans="2:14" s="10" customFormat="1" ht="11.25" customHeight="1">
      <c r="B292" s="34"/>
      <c r="C292" s="529"/>
      <c r="D292" s="530"/>
      <c r="E292" s="35"/>
      <c r="F292" s="31"/>
      <c r="G292" s="31"/>
      <c r="H292" s="9"/>
      <c r="N292" s="18"/>
    </row>
    <row r="293" spans="2:14" s="10" customFormat="1" ht="11.25" customHeight="1">
      <c r="B293" s="34"/>
      <c r="C293" s="529"/>
      <c r="D293" s="530"/>
      <c r="E293" s="35"/>
      <c r="F293" s="31"/>
      <c r="G293" s="31"/>
      <c r="H293" s="9"/>
      <c r="N293" s="18"/>
    </row>
    <row r="294" spans="2:14" s="10" customFormat="1" ht="11.25" customHeight="1">
      <c r="B294" s="34"/>
      <c r="C294" s="529"/>
      <c r="D294" s="530"/>
      <c r="E294" s="35"/>
      <c r="F294" s="31"/>
      <c r="G294" s="31"/>
      <c r="H294" s="9"/>
      <c r="N294" s="18"/>
    </row>
    <row r="295" spans="2:14" s="10" customFormat="1" ht="11.25" customHeight="1">
      <c r="B295" s="34"/>
      <c r="C295" s="529"/>
      <c r="D295" s="530"/>
      <c r="E295" s="35"/>
      <c r="F295" s="31"/>
      <c r="G295" s="31"/>
      <c r="H295" s="9"/>
      <c r="N295" s="18"/>
    </row>
    <row r="296" spans="2:14" s="10" customFormat="1" ht="11.25" customHeight="1">
      <c r="B296" s="34"/>
      <c r="C296" s="529"/>
      <c r="D296" s="530"/>
      <c r="E296" s="35"/>
      <c r="F296" s="31"/>
      <c r="G296" s="31"/>
      <c r="H296" s="9"/>
      <c r="N296" s="18"/>
    </row>
    <row r="297" spans="2:14" s="10" customFormat="1" ht="11.25" customHeight="1">
      <c r="B297" s="34"/>
      <c r="C297" s="529"/>
      <c r="D297" s="530"/>
      <c r="E297" s="35"/>
      <c r="F297" s="31"/>
      <c r="G297" s="31"/>
      <c r="H297" s="9"/>
      <c r="N297" s="18"/>
    </row>
    <row r="298" spans="2:14" s="10" customFormat="1" ht="11.25" customHeight="1">
      <c r="B298" s="34"/>
      <c r="C298" s="529"/>
      <c r="D298" s="530"/>
      <c r="E298" s="35"/>
      <c r="F298" s="31"/>
      <c r="G298" s="31"/>
      <c r="H298" s="9"/>
      <c r="N298" s="18"/>
    </row>
    <row r="299" spans="2:14" s="10" customFormat="1" ht="11.25" customHeight="1">
      <c r="B299" s="34"/>
      <c r="C299" s="529"/>
      <c r="D299" s="530"/>
      <c r="E299" s="35"/>
      <c r="F299" s="31"/>
      <c r="G299" s="31"/>
      <c r="H299" s="9"/>
      <c r="N299" s="18"/>
    </row>
    <row r="300" spans="2:14" s="10" customFormat="1" ht="11.25" customHeight="1">
      <c r="B300" s="34"/>
      <c r="C300" s="529"/>
      <c r="D300" s="530"/>
      <c r="E300" s="35"/>
      <c r="F300" s="31"/>
      <c r="G300" s="31"/>
      <c r="H300" s="9"/>
      <c r="N300" s="18"/>
    </row>
    <row r="301" spans="2:14" s="10" customFormat="1" ht="11.25" customHeight="1">
      <c r="B301" s="34"/>
      <c r="C301" s="529"/>
      <c r="D301" s="530"/>
      <c r="E301" s="35"/>
      <c r="F301" s="31"/>
      <c r="G301" s="31"/>
      <c r="H301" s="9"/>
      <c r="N301" s="18"/>
    </row>
    <row r="302" spans="2:14" s="10" customFormat="1" ht="11.25" customHeight="1">
      <c r="B302" s="34"/>
      <c r="C302" s="529"/>
      <c r="D302" s="530"/>
      <c r="E302" s="35"/>
      <c r="F302" s="31"/>
      <c r="G302" s="31"/>
      <c r="H302" s="9"/>
      <c r="N302" s="18"/>
    </row>
    <row r="303" spans="2:14" s="10" customFormat="1" ht="11.25" customHeight="1">
      <c r="B303" s="34"/>
      <c r="C303" s="529"/>
      <c r="D303" s="530"/>
      <c r="E303" s="35"/>
      <c r="F303" s="31"/>
      <c r="G303" s="31"/>
      <c r="H303" s="9"/>
      <c r="N303" s="18"/>
    </row>
    <row r="304" spans="2:14" s="10" customFormat="1" ht="11.25" customHeight="1">
      <c r="B304" s="34"/>
      <c r="C304" s="529"/>
      <c r="D304" s="530"/>
      <c r="E304" s="35"/>
      <c r="F304" s="31"/>
      <c r="G304" s="31"/>
      <c r="H304" s="9"/>
      <c r="N304" s="18"/>
    </row>
    <row r="305" spans="2:14" s="10" customFormat="1" ht="11.25" customHeight="1">
      <c r="B305" s="34"/>
      <c r="C305" s="529"/>
      <c r="D305" s="530"/>
      <c r="E305" s="35"/>
      <c r="F305" s="31"/>
      <c r="G305" s="31"/>
      <c r="H305" s="9"/>
      <c r="N305" s="18"/>
    </row>
    <row r="306" spans="2:14" s="10" customFormat="1" ht="11.25" customHeight="1">
      <c r="B306" s="34"/>
      <c r="C306" s="529"/>
      <c r="D306" s="530"/>
      <c r="E306" s="35"/>
      <c r="F306" s="31"/>
      <c r="G306" s="31"/>
      <c r="H306" s="9"/>
      <c r="N306" s="18"/>
    </row>
    <row r="307" spans="2:14" s="10" customFormat="1" ht="11.25" customHeight="1">
      <c r="B307" s="34"/>
      <c r="C307" s="529"/>
      <c r="D307" s="530"/>
      <c r="E307" s="35"/>
      <c r="F307" s="31"/>
      <c r="G307" s="31"/>
      <c r="H307" s="9"/>
      <c r="N307" s="18"/>
    </row>
    <row r="308" spans="2:14" s="10" customFormat="1" ht="11.25" customHeight="1">
      <c r="B308" s="34"/>
      <c r="C308" s="529"/>
      <c r="D308" s="530"/>
      <c r="E308" s="35"/>
      <c r="F308" s="31"/>
      <c r="G308" s="31"/>
      <c r="H308" s="9"/>
      <c r="N308" s="18"/>
    </row>
    <row r="309" spans="2:14" s="10" customFormat="1" ht="11.25" customHeight="1">
      <c r="B309" s="34"/>
      <c r="C309" s="529"/>
      <c r="D309" s="530"/>
      <c r="E309" s="35"/>
      <c r="F309" s="31"/>
      <c r="G309" s="31"/>
      <c r="H309" s="9"/>
      <c r="N309" s="18"/>
    </row>
    <row r="310" spans="2:14" s="10" customFormat="1" ht="11.25" customHeight="1">
      <c r="B310" s="34"/>
      <c r="C310" s="529"/>
      <c r="D310" s="530"/>
      <c r="E310" s="35"/>
      <c r="F310" s="31"/>
      <c r="G310" s="31"/>
      <c r="H310" s="9"/>
      <c r="N310" s="18"/>
    </row>
    <row r="311" spans="2:14" s="10" customFormat="1" ht="11.25" customHeight="1">
      <c r="B311" s="34"/>
      <c r="C311" s="529"/>
      <c r="D311" s="530"/>
      <c r="E311" s="35"/>
      <c r="F311" s="31"/>
      <c r="G311" s="31"/>
      <c r="H311" s="9"/>
      <c r="N311" s="18"/>
    </row>
    <row r="312" spans="2:14" s="10" customFormat="1" ht="11.25" customHeight="1">
      <c r="B312" s="34"/>
      <c r="C312" s="529"/>
      <c r="D312" s="530"/>
      <c r="E312" s="35"/>
      <c r="F312" s="31"/>
      <c r="G312" s="31"/>
      <c r="H312" s="9"/>
      <c r="N312" s="18"/>
    </row>
    <row r="313" spans="2:14" s="10" customFormat="1" ht="11.25" customHeight="1">
      <c r="B313" s="34"/>
      <c r="C313" s="529"/>
      <c r="D313" s="530"/>
      <c r="E313" s="35"/>
      <c r="F313" s="31"/>
      <c r="G313" s="31"/>
      <c r="H313" s="9"/>
      <c r="N313" s="18"/>
    </row>
    <row r="314" spans="2:14" s="10" customFormat="1" ht="11.25" customHeight="1">
      <c r="B314" s="34"/>
      <c r="C314" s="529"/>
      <c r="D314" s="530"/>
      <c r="E314" s="35"/>
      <c r="F314" s="31"/>
      <c r="G314" s="31"/>
      <c r="H314" s="9"/>
      <c r="N314" s="18"/>
    </row>
    <row r="315" spans="2:14" s="10" customFormat="1" ht="11.25" customHeight="1">
      <c r="B315" s="34"/>
      <c r="C315" s="529"/>
      <c r="D315" s="530"/>
      <c r="E315" s="35"/>
      <c r="F315" s="31"/>
      <c r="G315" s="31"/>
      <c r="H315" s="9"/>
      <c r="N315" s="18"/>
    </row>
    <row r="316" spans="2:14" s="10" customFormat="1" ht="11.25" customHeight="1">
      <c r="B316" s="34"/>
      <c r="C316" s="529"/>
      <c r="D316" s="530"/>
      <c r="E316" s="35"/>
      <c r="F316" s="31"/>
      <c r="G316" s="31"/>
      <c r="H316" s="9"/>
      <c r="N316" s="18"/>
    </row>
    <row r="317" spans="2:14" s="10" customFormat="1" ht="11.25" customHeight="1">
      <c r="B317" s="34"/>
      <c r="C317" s="529"/>
      <c r="D317" s="530"/>
      <c r="E317" s="35"/>
      <c r="F317" s="31"/>
      <c r="G317" s="31"/>
      <c r="H317" s="9"/>
      <c r="N317" s="18"/>
    </row>
    <row r="318" spans="2:14" s="10" customFormat="1" ht="11.25" customHeight="1">
      <c r="B318" s="34"/>
      <c r="C318" s="529"/>
      <c r="D318" s="530"/>
      <c r="E318" s="35"/>
      <c r="F318" s="31"/>
      <c r="G318" s="31"/>
      <c r="H318" s="9"/>
      <c r="N318" s="18"/>
    </row>
    <row r="319" spans="2:14" s="10" customFormat="1" ht="11.25" customHeight="1">
      <c r="B319" s="34"/>
      <c r="C319" s="529"/>
      <c r="D319" s="530"/>
      <c r="E319" s="35"/>
      <c r="F319" s="31"/>
      <c r="G319" s="31"/>
      <c r="H319" s="9"/>
      <c r="N319" s="18"/>
    </row>
    <row r="320" spans="2:14" s="10" customFormat="1" ht="11.25" customHeight="1">
      <c r="B320" s="34"/>
      <c r="C320" s="529"/>
      <c r="D320" s="530"/>
      <c r="E320" s="35"/>
      <c r="F320" s="31"/>
      <c r="G320" s="31"/>
      <c r="H320" s="9"/>
      <c r="N320" s="18"/>
    </row>
    <row r="321" spans="2:14" s="10" customFormat="1" ht="11.25" customHeight="1">
      <c r="B321" s="34"/>
      <c r="C321" s="529"/>
      <c r="D321" s="530"/>
      <c r="E321" s="35"/>
      <c r="F321" s="31"/>
      <c r="G321" s="31"/>
      <c r="H321" s="9"/>
      <c r="N321" s="18"/>
    </row>
    <row r="322" spans="2:14" s="10" customFormat="1" ht="11.25" customHeight="1">
      <c r="B322" s="34"/>
      <c r="C322" s="529"/>
      <c r="D322" s="530"/>
      <c r="E322" s="35"/>
      <c r="F322" s="31"/>
      <c r="G322" s="31"/>
      <c r="H322" s="9"/>
      <c r="N322" s="18"/>
    </row>
    <row r="323" spans="2:14" s="10" customFormat="1" ht="11.25" customHeight="1">
      <c r="B323" s="34"/>
      <c r="C323" s="529"/>
      <c r="D323" s="530"/>
      <c r="E323" s="35"/>
      <c r="F323" s="31"/>
      <c r="G323" s="31"/>
      <c r="H323" s="9"/>
      <c r="N323" s="18"/>
    </row>
    <row r="324" spans="2:14" s="10" customFormat="1" ht="11.25" customHeight="1">
      <c r="B324" s="34"/>
      <c r="C324" s="529"/>
      <c r="D324" s="530"/>
      <c r="E324" s="35"/>
      <c r="F324" s="31"/>
      <c r="G324" s="31"/>
      <c r="H324" s="9"/>
      <c r="N324" s="18"/>
    </row>
    <row r="325" spans="2:14" s="10" customFormat="1" ht="11.25" customHeight="1">
      <c r="B325" s="34"/>
      <c r="C325" s="529"/>
      <c r="D325" s="530"/>
      <c r="E325" s="35"/>
      <c r="F325" s="31"/>
      <c r="G325" s="31"/>
      <c r="H325" s="9"/>
      <c r="N325" s="18"/>
    </row>
    <row r="326" spans="2:14" s="10" customFormat="1" ht="11.25" customHeight="1">
      <c r="B326" s="34"/>
      <c r="C326" s="529"/>
      <c r="D326" s="530"/>
      <c r="E326" s="35"/>
      <c r="F326" s="31"/>
      <c r="G326" s="31"/>
      <c r="H326" s="9"/>
      <c r="N326" s="18"/>
    </row>
    <row r="327" spans="2:14" s="10" customFormat="1" ht="11.25" customHeight="1">
      <c r="B327" s="34"/>
      <c r="C327" s="529"/>
      <c r="D327" s="530"/>
      <c r="E327" s="35"/>
      <c r="F327" s="31"/>
      <c r="G327" s="31"/>
      <c r="H327" s="9"/>
      <c r="N327" s="18"/>
    </row>
    <row r="328" spans="2:14" s="10" customFormat="1" ht="11.25" customHeight="1">
      <c r="B328" s="34"/>
      <c r="C328" s="529"/>
      <c r="D328" s="530"/>
      <c r="E328" s="35"/>
      <c r="F328" s="31"/>
      <c r="G328" s="31"/>
      <c r="H328" s="9"/>
      <c r="N328" s="18"/>
    </row>
    <row r="329" spans="2:14" s="10" customFormat="1" ht="11.25" customHeight="1">
      <c r="B329" s="34"/>
      <c r="C329" s="529"/>
      <c r="D329" s="530"/>
      <c r="E329" s="35"/>
      <c r="F329" s="31"/>
      <c r="G329" s="31"/>
      <c r="H329" s="9"/>
      <c r="N329" s="18"/>
    </row>
    <row r="330" spans="2:14" s="10" customFormat="1" ht="11.25" customHeight="1">
      <c r="B330" s="34"/>
      <c r="C330" s="529"/>
      <c r="D330" s="530"/>
      <c r="E330" s="35"/>
      <c r="F330" s="31"/>
      <c r="G330" s="31"/>
      <c r="H330" s="9"/>
      <c r="N330" s="18"/>
    </row>
    <row r="331" spans="2:14" s="10" customFormat="1" ht="11.25" customHeight="1">
      <c r="B331" s="34"/>
      <c r="C331" s="529"/>
      <c r="D331" s="530"/>
      <c r="E331" s="35"/>
      <c r="F331" s="31"/>
      <c r="G331" s="31"/>
      <c r="H331" s="9"/>
      <c r="N331" s="18"/>
    </row>
    <row r="332" spans="2:14" s="10" customFormat="1" ht="11.25" customHeight="1">
      <c r="B332" s="34"/>
      <c r="C332" s="529"/>
      <c r="D332" s="530"/>
      <c r="E332" s="35"/>
      <c r="F332" s="31"/>
      <c r="G332" s="31"/>
      <c r="H332" s="9"/>
      <c r="N332" s="18"/>
    </row>
    <row r="333" spans="2:14" s="10" customFormat="1" ht="11.25" customHeight="1">
      <c r="B333" s="34"/>
      <c r="C333" s="529"/>
      <c r="D333" s="530"/>
      <c r="E333" s="35"/>
      <c r="F333" s="31"/>
      <c r="G333" s="31"/>
      <c r="H333" s="9"/>
      <c r="N333" s="18"/>
    </row>
    <row r="334" spans="2:14" s="10" customFormat="1" ht="11.25" customHeight="1">
      <c r="B334" s="34"/>
      <c r="C334" s="529"/>
      <c r="D334" s="530"/>
      <c r="E334" s="35"/>
      <c r="F334" s="31"/>
      <c r="G334" s="31"/>
      <c r="H334" s="9"/>
      <c r="N334" s="18"/>
    </row>
    <row r="335" spans="2:14" s="10" customFormat="1" ht="11.25" customHeight="1">
      <c r="B335" s="34"/>
      <c r="C335" s="529"/>
      <c r="D335" s="530"/>
      <c r="E335" s="35"/>
      <c r="F335" s="31"/>
      <c r="G335" s="31"/>
      <c r="H335" s="9"/>
      <c r="N335" s="18"/>
    </row>
    <row r="336" spans="2:14" s="10" customFormat="1" ht="11.25" customHeight="1">
      <c r="B336" s="34"/>
      <c r="C336" s="529"/>
      <c r="D336" s="530"/>
      <c r="E336" s="35"/>
      <c r="F336" s="31"/>
      <c r="G336" s="31"/>
      <c r="H336" s="9"/>
      <c r="N336" s="18"/>
    </row>
    <row r="337" spans="2:14" s="10" customFormat="1" ht="11.25" customHeight="1">
      <c r="B337" s="34"/>
      <c r="C337" s="529"/>
      <c r="D337" s="530"/>
      <c r="E337" s="35"/>
      <c r="F337" s="31"/>
      <c r="G337" s="31"/>
      <c r="H337" s="9"/>
      <c r="N337" s="18"/>
    </row>
    <row r="338" spans="2:14" s="10" customFormat="1" ht="11.25" customHeight="1">
      <c r="B338" s="34"/>
      <c r="C338" s="529"/>
      <c r="D338" s="530"/>
      <c r="E338" s="35"/>
      <c r="F338" s="31"/>
      <c r="G338" s="31"/>
      <c r="H338" s="9"/>
      <c r="N338" s="18"/>
    </row>
    <row r="339" spans="2:14" s="10" customFormat="1" ht="11.25" customHeight="1">
      <c r="B339" s="34"/>
      <c r="C339" s="529"/>
      <c r="D339" s="530"/>
      <c r="E339" s="35"/>
      <c r="F339" s="31"/>
      <c r="G339" s="31"/>
      <c r="H339" s="9"/>
      <c r="N339" s="18"/>
    </row>
    <row r="340" spans="2:14" s="10" customFormat="1" ht="11.25" customHeight="1">
      <c r="B340" s="34"/>
      <c r="C340" s="529"/>
      <c r="D340" s="530"/>
      <c r="E340" s="35"/>
      <c r="F340" s="31"/>
      <c r="G340" s="31"/>
      <c r="H340" s="9"/>
      <c r="N340" s="18"/>
    </row>
    <row r="341" spans="2:14" s="10" customFormat="1" ht="11.25" customHeight="1">
      <c r="B341" s="34"/>
      <c r="C341" s="529"/>
      <c r="D341" s="530"/>
      <c r="E341" s="35"/>
      <c r="F341" s="31"/>
      <c r="G341" s="31"/>
      <c r="H341" s="9"/>
      <c r="N341" s="18"/>
    </row>
    <row r="342" spans="2:14" s="10" customFormat="1" ht="11.25" customHeight="1">
      <c r="B342" s="34"/>
      <c r="C342" s="529"/>
      <c r="D342" s="530"/>
      <c r="E342" s="35"/>
      <c r="F342" s="31"/>
      <c r="G342" s="31"/>
      <c r="H342" s="9"/>
      <c r="N342" s="18"/>
    </row>
    <row r="343" spans="2:14" s="10" customFormat="1" ht="11.25" customHeight="1">
      <c r="B343" s="34"/>
      <c r="C343" s="529"/>
      <c r="D343" s="530"/>
      <c r="E343" s="35"/>
      <c r="F343" s="31"/>
      <c r="G343" s="31"/>
      <c r="H343" s="9"/>
      <c r="N343" s="18"/>
    </row>
    <row r="344" spans="2:14" s="10" customFormat="1" ht="11.25" customHeight="1">
      <c r="B344" s="34"/>
      <c r="C344" s="529"/>
      <c r="D344" s="530"/>
      <c r="E344" s="35"/>
      <c r="F344" s="31"/>
      <c r="G344" s="31"/>
      <c r="H344" s="9"/>
      <c r="N344" s="18"/>
    </row>
    <row r="345" spans="2:14" s="10" customFormat="1" ht="11.25" customHeight="1">
      <c r="B345" s="34"/>
      <c r="C345" s="529"/>
      <c r="D345" s="530"/>
      <c r="E345" s="35"/>
      <c r="F345" s="31"/>
      <c r="G345" s="31"/>
      <c r="H345" s="9"/>
      <c r="N345" s="18"/>
    </row>
    <row r="346" spans="2:14" s="10" customFormat="1" ht="11.25" customHeight="1">
      <c r="B346" s="34"/>
      <c r="C346" s="529"/>
      <c r="D346" s="530"/>
      <c r="E346" s="35"/>
      <c r="F346" s="31"/>
      <c r="G346" s="31"/>
      <c r="H346" s="9"/>
      <c r="N346" s="18"/>
    </row>
    <row r="347" spans="2:14" s="10" customFormat="1" ht="11.25" customHeight="1">
      <c r="B347" s="34"/>
      <c r="C347" s="529"/>
      <c r="D347" s="530"/>
      <c r="E347" s="35"/>
      <c r="F347" s="31"/>
      <c r="G347" s="31"/>
      <c r="H347" s="9"/>
      <c r="N347" s="18"/>
    </row>
    <row r="348" spans="2:14" s="10" customFormat="1" ht="11.25" customHeight="1">
      <c r="B348" s="34"/>
      <c r="C348" s="529"/>
      <c r="D348" s="530"/>
      <c r="E348" s="35"/>
      <c r="F348" s="31"/>
      <c r="G348" s="31"/>
      <c r="H348" s="9"/>
      <c r="N348" s="18"/>
    </row>
    <row r="349" spans="2:14" s="10" customFormat="1" ht="11.25" customHeight="1">
      <c r="B349" s="34"/>
      <c r="C349" s="529"/>
      <c r="D349" s="530"/>
      <c r="E349" s="35"/>
      <c r="F349" s="31"/>
      <c r="G349" s="31"/>
      <c r="H349" s="9"/>
      <c r="N349" s="18"/>
    </row>
    <row r="350" spans="2:14" s="10" customFormat="1" ht="11.25" customHeight="1">
      <c r="B350" s="34"/>
      <c r="C350" s="529"/>
      <c r="D350" s="530"/>
      <c r="E350" s="35"/>
      <c r="F350" s="31"/>
      <c r="G350" s="31"/>
      <c r="H350" s="9"/>
      <c r="N350" s="18"/>
    </row>
    <row r="351" spans="2:14" s="10" customFormat="1" ht="11.25" customHeight="1">
      <c r="B351" s="34"/>
      <c r="C351" s="529"/>
      <c r="D351" s="530"/>
      <c r="E351" s="35"/>
      <c r="F351" s="31"/>
      <c r="G351" s="31"/>
      <c r="H351" s="9"/>
      <c r="N351" s="18"/>
    </row>
    <row r="352" spans="2:14" s="10" customFormat="1" ht="11.25" customHeight="1">
      <c r="B352" s="34"/>
      <c r="C352" s="529"/>
      <c r="D352" s="530"/>
      <c r="E352" s="35"/>
      <c r="F352" s="31"/>
      <c r="G352" s="31"/>
      <c r="H352" s="9"/>
      <c r="N352" s="18"/>
    </row>
    <row r="353" spans="2:14" s="10" customFormat="1" ht="11.25" customHeight="1">
      <c r="B353" s="34"/>
      <c r="C353" s="529"/>
      <c r="D353" s="530"/>
      <c r="E353" s="35"/>
      <c r="F353" s="31"/>
      <c r="G353" s="31"/>
      <c r="H353" s="9"/>
      <c r="N353" s="18"/>
    </row>
    <row r="354" spans="2:14" s="10" customFormat="1" ht="11.25" customHeight="1">
      <c r="B354" s="34"/>
      <c r="C354" s="529"/>
      <c r="D354" s="530"/>
      <c r="E354" s="35"/>
      <c r="F354" s="31"/>
      <c r="G354" s="31"/>
      <c r="H354" s="9"/>
      <c r="N354" s="18"/>
    </row>
    <row r="355" spans="2:14" s="10" customFormat="1" ht="11.25" customHeight="1">
      <c r="B355" s="34"/>
      <c r="C355" s="529"/>
      <c r="D355" s="530"/>
      <c r="E355" s="35"/>
      <c r="F355" s="31"/>
      <c r="G355" s="31"/>
      <c r="H355" s="9"/>
      <c r="N355" s="18"/>
    </row>
    <row r="356" spans="2:14" s="10" customFormat="1" ht="11.25" customHeight="1">
      <c r="B356" s="34"/>
      <c r="C356" s="529"/>
      <c r="D356" s="530"/>
      <c r="E356" s="35"/>
      <c r="F356" s="31"/>
      <c r="G356" s="31"/>
      <c r="H356" s="9"/>
      <c r="N356" s="18"/>
    </row>
    <row r="357" spans="2:14" s="10" customFormat="1" ht="11.25" customHeight="1">
      <c r="B357" s="34"/>
      <c r="C357" s="529"/>
      <c r="D357" s="530"/>
      <c r="E357" s="35"/>
      <c r="F357" s="31"/>
      <c r="G357" s="31"/>
      <c r="H357" s="9"/>
      <c r="N357" s="18"/>
    </row>
    <row r="358" spans="2:14" s="10" customFormat="1" ht="11.25" customHeight="1">
      <c r="B358" s="34"/>
      <c r="C358" s="529"/>
      <c r="D358" s="530"/>
      <c r="E358" s="35"/>
      <c r="F358" s="31"/>
      <c r="G358" s="31"/>
      <c r="H358" s="9"/>
      <c r="N358" s="18"/>
    </row>
    <row r="359" spans="2:14" s="10" customFormat="1" ht="11.25" customHeight="1">
      <c r="B359" s="34"/>
      <c r="C359" s="529"/>
      <c r="D359" s="530"/>
      <c r="E359" s="35"/>
      <c r="F359" s="31"/>
      <c r="G359" s="31"/>
      <c r="H359" s="9"/>
      <c r="N359" s="18"/>
    </row>
    <row r="360" spans="2:14" s="10" customFormat="1" ht="11.25" customHeight="1">
      <c r="B360" s="34"/>
      <c r="C360" s="529"/>
      <c r="D360" s="530"/>
      <c r="E360" s="35"/>
      <c r="F360" s="31"/>
      <c r="G360" s="31"/>
      <c r="H360" s="9"/>
      <c r="N360" s="18"/>
    </row>
    <row r="361" spans="2:14" s="10" customFormat="1" ht="11.25" customHeight="1">
      <c r="B361" s="34"/>
      <c r="C361" s="529"/>
      <c r="D361" s="530"/>
      <c r="E361" s="35"/>
      <c r="F361" s="31"/>
      <c r="G361" s="31"/>
      <c r="H361" s="9"/>
      <c r="N361" s="18"/>
    </row>
    <row r="362" spans="2:14" s="10" customFormat="1" ht="11.25" customHeight="1">
      <c r="B362" s="34"/>
      <c r="C362" s="529"/>
      <c r="D362" s="530"/>
      <c r="E362" s="35"/>
      <c r="F362" s="31"/>
      <c r="G362" s="31"/>
      <c r="H362" s="9"/>
      <c r="N362" s="18"/>
    </row>
    <row r="363" spans="2:14" s="10" customFormat="1" ht="11.25" customHeight="1">
      <c r="B363" s="34"/>
      <c r="C363" s="529"/>
      <c r="D363" s="530"/>
      <c r="E363" s="35"/>
      <c r="F363" s="31"/>
      <c r="G363" s="31"/>
      <c r="H363" s="9"/>
      <c r="N363" s="18"/>
    </row>
    <row r="364" spans="2:14" s="10" customFormat="1" ht="11.25" customHeight="1">
      <c r="B364" s="34"/>
      <c r="C364" s="529"/>
      <c r="D364" s="530"/>
      <c r="E364" s="35"/>
      <c r="F364" s="31"/>
      <c r="G364" s="31"/>
      <c r="H364" s="9"/>
      <c r="N364" s="18"/>
    </row>
    <row r="365" spans="2:14" s="10" customFormat="1" ht="11.25" customHeight="1">
      <c r="B365" s="34"/>
      <c r="C365" s="529"/>
      <c r="D365" s="530"/>
      <c r="E365" s="35"/>
      <c r="F365" s="31"/>
      <c r="G365" s="31"/>
      <c r="H365" s="9"/>
      <c r="N365" s="18"/>
    </row>
    <row r="366" spans="2:14" s="10" customFormat="1" ht="11.25" customHeight="1">
      <c r="B366" s="34"/>
      <c r="C366" s="529"/>
      <c r="D366" s="530"/>
      <c r="E366" s="35"/>
      <c r="F366" s="31"/>
      <c r="G366" s="31"/>
      <c r="H366" s="9"/>
      <c r="N366" s="18"/>
    </row>
    <row r="367" spans="2:14" s="10" customFormat="1" ht="11.25" customHeight="1">
      <c r="B367" s="34"/>
      <c r="C367" s="529"/>
      <c r="D367" s="530"/>
      <c r="E367" s="35"/>
      <c r="F367" s="31"/>
      <c r="G367" s="31"/>
      <c r="H367" s="9"/>
      <c r="N367" s="18"/>
    </row>
    <row r="368" spans="2:14" s="10" customFormat="1" ht="11.25" customHeight="1">
      <c r="B368" s="34"/>
      <c r="C368" s="529"/>
      <c r="D368" s="530"/>
      <c r="E368" s="35"/>
      <c r="F368" s="31"/>
      <c r="G368" s="31"/>
      <c r="H368" s="9"/>
      <c r="N368" s="18"/>
    </row>
    <row r="369" spans="2:14" s="10" customFormat="1" ht="11.25" customHeight="1">
      <c r="B369" s="34"/>
      <c r="C369" s="529"/>
      <c r="D369" s="530"/>
      <c r="E369" s="35"/>
      <c r="F369" s="31"/>
      <c r="G369" s="31"/>
      <c r="H369" s="9"/>
      <c r="N369" s="18"/>
    </row>
    <row r="370" spans="2:14" s="10" customFormat="1" ht="11.25" customHeight="1">
      <c r="B370" s="34"/>
      <c r="C370" s="529"/>
      <c r="D370" s="530"/>
      <c r="E370" s="35"/>
      <c r="F370" s="31"/>
      <c r="G370" s="31"/>
      <c r="H370" s="9"/>
      <c r="N370" s="18"/>
    </row>
    <row r="371" spans="2:14" s="10" customFormat="1" ht="11.25" customHeight="1">
      <c r="B371" s="34"/>
      <c r="C371" s="529"/>
      <c r="D371" s="530"/>
      <c r="E371" s="35"/>
      <c r="F371" s="31"/>
      <c r="G371" s="31"/>
      <c r="H371" s="9"/>
      <c r="N371" s="18"/>
    </row>
    <row r="372" spans="2:14" s="10" customFormat="1" ht="11.25" customHeight="1">
      <c r="B372" s="34"/>
      <c r="C372" s="529"/>
      <c r="D372" s="530"/>
      <c r="E372" s="35"/>
      <c r="F372" s="31"/>
      <c r="G372" s="31"/>
      <c r="H372" s="9"/>
      <c r="N372" s="18"/>
    </row>
    <row r="373" spans="2:14" s="10" customFormat="1" ht="11.25" customHeight="1">
      <c r="B373" s="34"/>
      <c r="C373" s="529"/>
      <c r="D373" s="530"/>
      <c r="E373" s="35"/>
      <c r="F373" s="31"/>
      <c r="G373" s="31"/>
      <c r="H373" s="9"/>
      <c r="N373" s="18"/>
    </row>
    <row r="374" spans="2:14" s="10" customFormat="1" ht="11.25" customHeight="1">
      <c r="B374" s="34"/>
      <c r="C374" s="529"/>
      <c r="D374" s="530"/>
      <c r="E374" s="35"/>
      <c r="F374" s="31"/>
      <c r="G374" s="31"/>
      <c r="H374" s="9"/>
      <c r="N374" s="18"/>
    </row>
    <row r="375" spans="2:14" s="10" customFormat="1" ht="11.25" customHeight="1">
      <c r="B375" s="34"/>
      <c r="C375" s="529"/>
      <c r="D375" s="530"/>
      <c r="E375" s="35"/>
      <c r="F375" s="31"/>
      <c r="G375" s="31"/>
      <c r="H375" s="9"/>
      <c r="N375" s="18"/>
    </row>
    <row r="376" spans="2:14" s="10" customFormat="1" ht="11.25" customHeight="1">
      <c r="B376" s="34"/>
      <c r="C376" s="529"/>
      <c r="D376" s="530"/>
      <c r="E376" s="35"/>
      <c r="F376" s="8"/>
      <c r="G376" s="8"/>
      <c r="H376" s="9"/>
      <c r="I376" s="4"/>
      <c r="M376" s="4"/>
      <c r="N376" s="11"/>
    </row>
    <row r="377" spans="2:14" s="10" customFormat="1" ht="11.25" customHeight="1">
      <c r="B377" s="34"/>
      <c r="C377" s="529"/>
      <c r="D377" s="530"/>
      <c r="E377" s="35"/>
      <c r="F377" s="8"/>
      <c r="G377" s="8"/>
      <c r="H377" s="9"/>
      <c r="I377" s="4"/>
      <c r="M377" s="4"/>
      <c r="N377" s="11"/>
    </row>
    <row r="378" spans="2:14" s="10" customFormat="1" ht="11.25" customHeight="1">
      <c r="B378" s="34"/>
      <c r="C378" s="529"/>
      <c r="D378" s="530"/>
      <c r="E378" s="35"/>
      <c r="F378" s="8"/>
      <c r="G378" s="8"/>
      <c r="H378" s="9"/>
      <c r="I378" s="4"/>
      <c r="M378" s="4"/>
      <c r="N378" s="11"/>
    </row>
    <row r="379" spans="2:14" s="10" customFormat="1" ht="11.25" customHeight="1">
      <c r="B379" s="34"/>
      <c r="C379" s="529"/>
      <c r="D379" s="530"/>
      <c r="E379" s="35"/>
      <c r="F379" s="8"/>
      <c r="G379" s="8"/>
      <c r="H379" s="9"/>
      <c r="I379" s="4"/>
      <c r="M379" s="4"/>
      <c r="N379" s="11"/>
    </row>
    <row r="380" spans="2:14" s="10" customFormat="1" ht="11.25" customHeight="1">
      <c r="B380" s="34"/>
      <c r="C380" s="529"/>
      <c r="D380" s="530"/>
      <c r="E380" s="35"/>
      <c r="F380" s="8"/>
      <c r="G380" s="8"/>
      <c r="H380" s="9"/>
      <c r="I380" s="4"/>
      <c r="M380" s="4"/>
      <c r="N380" s="11"/>
    </row>
    <row r="381" spans="2:14" s="10" customFormat="1" ht="11.25" customHeight="1">
      <c r="B381" s="34"/>
      <c r="C381" s="529"/>
      <c r="D381" s="530"/>
      <c r="E381" s="35"/>
      <c r="F381" s="8"/>
      <c r="G381" s="8"/>
      <c r="H381" s="9"/>
      <c r="I381" s="4"/>
      <c r="M381" s="4"/>
      <c r="N381" s="11"/>
    </row>
    <row r="382" spans="2:14" s="10" customFormat="1" ht="11.25" customHeight="1">
      <c r="B382" s="34"/>
      <c r="C382" s="529"/>
      <c r="D382" s="530"/>
      <c r="E382" s="35"/>
      <c r="F382" s="8"/>
      <c r="G382" s="8"/>
      <c r="H382" s="9"/>
      <c r="I382" s="4"/>
      <c r="M382" s="4"/>
      <c r="N382" s="11"/>
    </row>
    <row r="383" spans="2:14" s="10" customFormat="1" ht="11.25" customHeight="1">
      <c r="B383" s="34"/>
      <c r="C383" s="529"/>
      <c r="D383" s="530"/>
      <c r="E383" s="35"/>
      <c r="F383" s="8"/>
      <c r="G383" s="8"/>
      <c r="H383" s="9"/>
      <c r="I383" s="4"/>
      <c r="M383" s="4"/>
      <c r="N383" s="11"/>
    </row>
    <row r="384" spans="2:14" s="10" customFormat="1" ht="11.25" customHeight="1">
      <c r="B384" s="34"/>
      <c r="C384" s="529"/>
      <c r="D384" s="530"/>
      <c r="E384" s="35"/>
      <c r="F384" s="8"/>
      <c r="G384" s="8"/>
      <c r="H384" s="9"/>
      <c r="I384" s="4"/>
      <c r="M384" s="4"/>
      <c r="N384" s="11"/>
    </row>
    <row r="385" spans="2:14" s="10" customFormat="1" ht="11.25" customHeight="1">
      <c r="B385" s="34"/>
      <c r="C385" s="529"/>
      <c r="D385" s="530"/>
      <c r="E385" s="35"/>
      <c r="F385" s="8"/>
      <c r="G385" s="8"/>
      <c r="H385" s="9"/>
      <c r="I385" s="4"/>
      <c r="M385" s="4"/>
      <c r="N385" s="11"/>
    </row>
    <row r="386" spans="2:14" s="10" customFormat="1" ht="11.25" customHeight="1">
      <c r="B386" s="34"/>
      <c r="C386" s="529"/>
      <c r="D386" s="530"/>
      <c r="E386" s="35"/>
      <c r="F386" s="8"/>
      <c r="G386" s="8"/>
      <c r="H386" s="9"/>
      <c r="I386" s="4"/>
      <c r="M386" s="4"/>
      <c r="N386" s="11"/>
    </row>
    <row r="387" spans="2:14" s="10" customFormat="1" ht="11.25" customHeight="1">
      <c r="B387" s="34"/>
      <c r="C387" s="529"/>
      <c r="D387" s="530"/>
      <c r="E387" s="35"/>
      <c r="F387" s="8"/>
      <c r="G387" s="8"/>
      <c r="H387" s="9"/>
      <c r="I387" s="4"/>
      <c r="M387" s="4"/>
      <c r="N387" s="11"/>
    </row>
    <row r="388" spans="2:14" s="10" customFormat="1" ht="11.25" customHeight="1">
      <c r="B388" s="34"/>
      <c r="C388" s="529"/>
      <c r="D388" s="530"/>
      <c r="E388" s="35"/>
      <c r="F388" s="8"/>
      <c r="G388" s="8"/>
      <c r="H388" s="9"/>
      <c r="I388" s="4"/>
      <c r="M388" s="4"/>
      <c r="N388" s="11"/>
    </row>
    <row r="389" spans="2:14" s="10" customFormat="1" ht="11.25" customHeight="1">
      <c r="B389" s="34"/>
      <c r="C389" s="529"/>
      <c r="D389" s="530"/>
      <c r="E389" s="35"/>
      <c r="F389" s="8"/>
      <c r="G389" s="8"/>
      <c r="H389" s="9"/>
      <c r="I389" s="4"/>
      <c r="M389" s="4"/>
      <c r="N389" s="11"/>
    </row>
    <row r="390" spans="2:14" s="10" customFormat="1" ht="11.25" customHeight="1">
      <c r="B390" s="34"/>
      <c r="C390" s="529"/>
      <c r="D390" s="530"/>
      <c r="E390" s="35"/>
      <c r="F390" s="8"/>
      <c r="G390" s="8"/>
      <c r="H390" s="9"/>
      <c r="I390" s="4"/>
      <c r="M390" s="4"/>
      <c r="N390" s="11"/>
    </row>
    <row r="391" spans="2:14" s="10" customFormat="1" ht="11.25" customHeight="1">
      <c r="B391" s="34"/>
      <c r="C391" s="529"/>
      <c r="D391" s="530"/>
      <c r="E391" s="35"/>
      <c r="F391" s="8"/>
      <c r="G391" s="8"/>
      <c r="H391" s="9"/>
      <c r="I391" s="4"/>
      <c r="M391" s="4"/>
      <c r="N391" s="11"/>
    </row>
    <row r="392" spans="2:14" s="10" customFormat="1" ht="11.25" customHeight="1">
      <c r="B392" s="34"/>
      <c r="C392" s="529"/>
      <c r="D392" s="530"/>
      <c r="E392" s="35"/>
      <c r="F392" s="8"/>
      <c r="G392" s="8"/>
      <c r="H392" s="9"/>
      <c r="I392" s="4"/>
      <c r="M392" s="4"/>
      <c r="N392" s="11"/>
    </row>
    <row r="393" spans="2:14" s="10" customFormat="1" ht="11.25" customHeight="1">
      <c r="B393" s="34"/>
      <c r="C393" s="529"/>
      <c r="D393" s="530"/>
      <c r="E393" s="35"/>
      <c r="F393" s="8"/>
      <c r="G393" s="8"/>
      <c r="H393" s="9"/>
      <c r="I393" s="4"/>
      <c r="M393" s="4"/>
      <c r="N393" s="11"/>
    </row>
    <row r="394" spans="2:14" s="10" customFormat="1" ht="11.25" customHeight="1">
      <c r="B394" s="34"/>
      <c r="C394" s="529"/>
      <c r="D394" s="530"/>
      <c r="E394" s="35"/>
      <c r="F394" s="8"/>
      <c r="G394" s="8"/>
      <c r="H394" s="9"/>
      <c r="I394" s="4"/>
      <c r="M394" s="4"/>
      <c r="N394" s="11"/>
    </row>
    <row r="395" spans="2:14" s="10" customFormat="1" ht="11.25" customHeight="1">
      <c r="B395" s="34"/>
      <c r="C395" s="529"/>
      <c r="D395" s="530"/>
      <c r="E395" s="35"/>
      <c r="F395" s="8"/>
      <c r="G395" s="8"/>
      <c r="H395" s="9"/>
      <c r="I395" s="4"/>
      <c r="M395" s="4"/>
      <c r="N395" s="11"/>
    </row>
    <row r="396" spans="2:14" s="10" customFormat="1" ht="11.25" customHeight="1">
      <c r="B396" s="34"/>
      <c r="C396" s="529"/>
      <c r="D396" s="530"/>
      <c r="E396" s="35"/>
      <c r="F396" s="8"/>
      <c r="G396" s="8"/>
      <c r="H396" s="9"/>
      <c r="I396" s="4"/>
      <c r="M396" s="4"/>
      <c r="N396" s="11"/>
    </row>
    <row r="397" spans="2:14" s="10" customFormat="1" ht="11.25" customHeight="1">
      <c r="B397" s="34"/>
      <c r="C397" s="529"/>
      <c r="D397" s="530"/>
      <c r="E397" s="35"/>
      <c r="F397" s="8"/>
      <c r="G397" s="8"/>
      <c r="H397" s="9"/>
      <c r="I397" s="4"/>
      <c r="M397" s="4"/>
      <c r="N397" s="11"/>
    </row>
    <row r="398" spans="2:14" s="10" customFormat="1" ht="11.25" customHeight="1">
      <c r="B398" s="34"/>
      <c r="C398" s="529"/>
      <c r="D398" s="530"/>
      <c r="E398" s="35"/>
      <c r="F398" s="8"/>
      <c r="G398" s="8"/>
      <c r="H398" s="9"/>
      <c r="I398" s="4"/>
      <c r="M398" s="4"/>
      <c r="N398" s="11"/>
    </row>
    <row r="399" spans="2:14" s="10" customFormat="1" ht="11.25" customHeight="1">
      <c r="B399" s="34"/>
      <c r="C399" s="529"/>
      <c r="D399" s="530"/>
      <c r="E399" s="35"/>
      <c r="F399" s="8"/>
      <c r="G399" s="8"/>
      <c r="H399" s="9"/>
      <c r="I399" s="4"/>
      <c r="M399" s="4"/>
      <c r="N399" s="11"/>
    </row>
    <row r="400" spans="2:14" s="10" customFormat="1" ht="11.25" customHeight="1">
      <c r="B400" s="34"/>
      <c r="C400" s="529"/>
      <c r="D400" s="530"/>
      <c r="E400" s="35"/>
      <c r="F400" s="8"/>
      <c r="G400" s="8"/>
      <c r="H400" s="9"/>
      <c r="I400" s="4"/>
      <c r="M400" s="4"/>
      <c r="N400" s="11"/>
    </row>
    <row r="401" spans="2:14" s="10" customFormat="1" ht="11.25" customHeight="1">
      <c r="B401" s="34"/>
      <c r="C401" s="529"/>
      <c r="D401" s="530"/>
      <c r="E401" s="35"/>
      <c r="F401" s="8"/>
      <c r="G401" s="8"/>
      <c r="H401" s="9"/>
      <c r="I401" s="4"/>
      <c r="M401" s="4"/>
      <c r="N401" s="11"/>
    </row>
    <row r="402" spans="2:14" s="10" customFormat="1" ht="11.25" customHeight="1">
      <c r="B402" s="34"/>
      <c r="C402" s="529"/>
      <c r="D402" s="530"/>
      <c r="E402" s="35"/>
      <c r="F402" s="8"/>
      <c r="G402" s="8"/>
      <c r="H402" s="9"/>
      <c r="I402" s="4"/>
      <c r="M402" s="4"/>
      <c r="N402" s="11"/>
    </row>
    <row r="403" spans="2:14" s="10" customFormat="1" ht="11.25" customHeight="1">
      <c r="B403" s="34"/>
      <c r="C403" s="529"/>
      <c r="D403" s="530"/>
      <c r="E403" s="35"/>
      <c r="F403" s="8"/>
      <c r="G403" s="8"/>
      <c r="H403" s="9"/>
      <c r="I403" s="4"/>
      <c r="M403" s="4"/>
      <c r="N403" s="11"/>
    </row>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sheetData>
  <sheetProtection password="DEC3" sheet="1" objects="1" scenarios="1" selectLockedCells="1"/>
  <conditionalFormatting sqref="M16:M44">
    <cfRule type="cellIs" priority="1" dxfId="0" operator="lessThanOrEqual" stopIfTrue="1">
      <formula>0</formula>
    </cfRule>
    <cfRule type="cellIs" priority="2" dxfId="1" operator="greaterThan" stopIfTrue="1">
      <formula>0</formula>
    </cfRule>
  </conditionalFormatting>
  <printOptions/>
  <pageMargins left="0.5905511811023623" right="0.5905511811023623" top="0.5905511811023623" bottom="0.3937007874015748" header="0.31496062992125984" footer="0.31496062992125984"/>
  <pageSetup horizontalDpi="600" verticalDpi="600" orientation="portrait" paperSize="9" r:id="rId4"/>
  <headerFooter alignWithMargins="0">
    <oddHeader xml:space="preserve">&amp;L&amp;9FutureConstruct® Energia&amp;R&amp;9&amp;P(&amp;N)  </oddHeader>
  </headerFooter>
  <ignoredErrors>
    <ignoredError sqref="S36 C21:C23 J79:J100 T13:AE13" numberStoredAsText="1"/>
    <ignoredError sqref="AD135 AE135:AG135" formula="1"/>
  </ignoredErrors>
  <drawing r:id="rId3"/>
  <legacyDrawing r:id="rId2"/>
</worksheet>
</file>

<file path=xl/worksheets/sheet3.xml><?xml version="1.0" encoding="utf-8"?>
<worksheet xmlns="http://schemas.openxmlformats.org/spreadsheetml/2006/main" xmlns:r="http://schemas.openxmlformats.org/officeDocument/2006/relationships">
  <dimension ref="A2:K238"/>
  <sheetViews>
    <sheetView showGridLines="0" workbookViewId="0" topLeftCell="A1">
      <selection activeCell="B15" sqref="B15"/>
    </sheetView>
  </sheetViews>
  <sheetFormatPr defaultColWidth="9.140625" defaultRowHeight="12.75"/>
  <cols>
    <col min="1" max="1" width="4.7109375" style="12" customWidth="1"/>
    <col min="2" max="10" width="8.8515625" style="12" customWidth="1"/>
    <col min="11" max="11" width="4.7109375" style="12" customWidth="1"/>
    <col min="12" max="16384" width="8.8515625" style="12" customWidth="1"/>
  </cols>
  <sheetData>
    <row r="2" spans="1:11" ht="12.75">
      <c r="A2" s="320"/>
      <c r="B2" s="321"/>
      <c r="C2" s="321"/>
      <c r="D2" s="321"/>
      <c r="E2" s="321"/>
      <c r="F2" s="321"/>
      <c r="G2" s="321"/>
      <c r="H2" s="321"/>
      <c r="I2" s="321"/>
      <c r="J2" s="321"/>
      <c r="K2" s="322"/>
    </row>
    <row r="3" spans="1:11" ht="33">
      <c r="A3" s="323"/>
      <c r="B3" s="324"/>
      <c r="C3" s="324"/>
      <c r="D3" s="324"/>
      <c r="E3" s="325"/>
      <c r="F3" s="326" t="s">
        <v>414</v>
      </c>
      <c r="G3" s="324"/>
      <c r="H3" s="324"/>
      <c r="I3" s="324"/>
      <c r="J3" s="324"/>
      <c r="K3" s="327"/>
    </row>
    <row r="4" spans="1:11" ht="12.75">
      <c r="A4" s="328"/>
      <c r="B4" s="329"/>
      <c r="C4" s="329"/>
      <c r="D4" s="329"/>
      <c r="E4" s="329"/>
      <c r="F4" s="329"/>
      <c r="G4" s="329"/>
      <c r="H4" s="330"/>
      <c r="I4" s="329"/>
      <c r="J4" s="329"/>
      <c r="K4" s="331"/>
    </row>
    <row r="5" spans="1:11" ht="12.75">
      <c r="A5" s="332"/>
      <c r="B5" s="333"/>
      <c r="C5" s="333"/>
      <c r="D5" s="333"/>
      <c r="E5" s="333"/>
      <c r="F5" s="333"/>
      <c r="G5" s="333"/>
      <c r="H5" s="334"/>
      <c r="I5" s="333"/>
      <c r="J5" s="333"/>
      <c r="K5" s="335"/>
    </row>
    <row r="6" spans="1:11" ht="12.75">
      <c r="A6" s="332"/>
      <c r="B6" s="333"/>
      <c r="C6" s="333"/>
      <c r="D6" s="333"/>
      <c r="E6" s="333"/>
      <c r="F6" s="333"/>
      <c r="G6" s="333"/>
      <c r="H6" s="334"/>
      <c r="I6" s="333"/>
      <c r="J6" s="333"/>
      <c r="K6" s="335"/>
    </row>
    <row r="7" spans="1:11" ht="12.75">
      <c r="A7" s="323"/>
      <c r="B7" s="324"/>
      <c r="C7" s="324"/>
      <c r="D7" s="324"/>
      <c r="E7" s="324"/>
      <c r="F7" s="324"/>
      <c r="G7" s="324"/>
      <c r="H7" s="324"/>
      <c r="I7" s="324"/>
      <c r="J7" s="324"/>
      <c r="K7" s="327"/>
    </row>
    <row r="8" spans="1:11" ht="12.75">
      <c r="A8" s="323"/>
      <c r="B8" s="336" t="s">
        <v>415</v>
      </c>
      <c r="C8" s="324"/>
      <c r="D8" s="324"/>
      <c r="E8" s="324"/>
      <c r="F8" s="324"/>
      <c r="G8" s="324"/>
      <c r="H8" s="324"/>
      <c r="I8" s="324"/>
      <c r="J8" s="324"/>
      <c r="K8" s="327"/>
    </row>
    <row r="9" spans="1:11" ht="12.75">
      <c r="A9" s="323"/>
      <c r="B9" s="324" t="s">
        <v>363</v>
      </c>
      <c r="C9" s="324"/>
      <c r="D9" s="337" t="str">
        <f>'ET-luvun Laskenta'!C17</f>
        <v>2-kerroksinen erillinen pientalo</v>
      </c>
      <c r="E9" s="329"/>
      <c r="F9" s="329"/>
      <c r="G9" s="338" t="s">
        <v>476</v>
      </c>
      <c r="I9" s="337" t="str">
        <f>'ET-luvun Laskenta'!C21</f>
        <v>2009</v>
      </c>
      <c r="J9" s="329"/>
      <c r="K9" s="327"/>
    </row>
    <row r="10" spans="1:11" ht="12.75">
      <c r="A10" s="323"/>
      <c r="B10" s="324" t="s">
        <v>364</v>
      </c>
      <c r="C10" s="324"/>
      <c r="D10" s="337" t="str">
        <f>'ET-luvun Laskenta'!C18</f>
        <v>Omakotikatu 2</v>
      </c>
      <c r="E10" s="329"/>
      <c r="F10" s="329"/>
      <c r="G10" s="338" t="s">
        <v>477</v>
      </c>
      <c r="I10" s="337" t="str">
        <f>'ET-luvun Laskenta'!C20</f>
        <v>49-12-34-56</v>
      </c>
      <c r="J10" s="329"/>
      <c r="K10" s="327"/>
    </row>
    <row r="11" spans="1:11" ht="12.75">
      <c r="A11" s="323"/>
      <c r="B11" s="324"/>
      <c r="C11" s="324"/>
      <c r="D11" s="339" t="str">
        <f>'ET-luvun Laskenta'!C19</f>
        <v>FI-02760 Espoo</v>
      </c>
      <c r="E11" s="329"/>
      <c r="F11" s="329"/>
      <c r="G11" s="338" t="s">
        <v>478</v>
      </c>
      <c r="I11" s="337" t="str">
        <f>'ET-luvun Laskenta'!C23</f>
        <v>1</v>
      </c>
      <c r="J11" s="329"/>
      <c r="K11" s="327"/>
    </row>
    <row r="12" spans="1:11" ht="12.75">
      <c r="A12" s="323"/>
      <c r="B12" s="324"/>
      <c r="C12" s="324"/>
      <c r="D12" s="324"/>
      <c r="E12" s="324"/>
      <c r="F12" s="324"/>
      <c r="G12" s="324"/>
      <c r="H12" s="340"/>
      <c r="I12" s="324"/>
      <c r="J12" s="324"/>
      <c r="K12" s="327"/>
    </row>
    <row r="13" spans="1:11" ht="12.75">
      <c r="A13" s="323"/>
      <c r="B13" s="324" t="s">
        <v>416</v>
      </c>
      <c r="C13" s="324"/>
      <c r="D13" s="324"/>
      <c r="E13" s="324"/>
      <c r="F13" s="324"/>
      <c r="G13" s="324"/>
      <c r="H13" s="324"/>
      <c r="I13" s="324"/>
      <c r="J13" s="324"/>
      <c r="K13" s="327"/>
    </row>
    <row r="14" spans="1:11" ht="12.75">
      <c r="A14" s="323"/>
      <c r="B14" s="324"/>
      <c r="C14" s="324"/>
      <c r="D14" s="324"/>
      <c r="E14" s="324"/>
      <c r="F14" s="324"/>
      <c r="G14" s="324"/>
      <c r="H14" s="324"/>
      <c r="I14" s="324"/>
      <c r="J14" s="324"/>
      <c r="K14" s="327"/>
    </row>
    <row r="15" spans="1:11" ht="12.75">
      <c r="A15" s="323"/>
      <c r="B15" s="550" t="s">
        <v>502</v>
      </c>
      <c r="C15" s="324" t="s">
        <v>417</v>
      </c>
      <c r="D15" s="324"/>
      <c r="E15" s="324"/>
      <c r="F15" s="324"/>
      <c r="G15" s="324"/>
      <c r="H15" s="324"/>
      <c r="I15" s="324"/>
      <c r="J15" s="324"/>
      <c r="K15" s="327"/>
    </row>
    <row r="16" spans="1:11" ht="12.75">
      <c r="A16" s="323"/>
      <c r="B16" s="551"/>
      <c r="C16" s="324" t="s">
        <v>418</v>
      </c>
      <c r="D16" s="324"/>
      <c r="E16" s="324"/>
      <c r="F16" s="324"/>
      <c r="G16" s="324"/>
      <c r="H16" s="324"/>
      <c r="I16" s="324"/>
      <c r="J16" s="324"/>
      <c r="K16" s="327"/>
    </row>
    <row r="17" spans="1:11" ht="12.75">
      <c r="A17" s="323"/>
      <c r="B17" s="329"/>
      <c r="C17" s="324"/>
      <c r="D17" s="324"/>
      <c r="E17" s="324"/>
      <c r="F17" s="324"/>
      <c r="G17" s="324"/>
      <c r="H17" s="324"/>
      <c r="I17" s="324"/>
      <c r="J17" s="324"/>
      <c r="K17" s="327"/>
    </row>
    <row r="18" spans="1:11" ht="12.75">
      <c r="A18" s="332"/>
      <c r="B18" s="333"/>
      <c r="C18" s="333"/>
      <c r="D18" s="333"/>
      <c r="E18" s="333"/>
      <c r="F18" s="333"/>
      <c r="G18" s="333"/>
      <c r="H18" s="333"/>
      <c r="I18" s="333"/>
      <c r="J18" s="333"/>
      <c r="K18" s="335"/>
    </row>
    <row r="19" spans="1:11" ht="12.75">
      <c r="A19" s="332"/>
      <c r="B19" s="333"/>
      <c r="C19" s="333"/>
      <c r="D19" s="333"/>
      <c r="E19" s="333"/>
      <c r="F19" s="333"/>
      <c r="G19" s="333"/>
      <c r="H19" s="333"/>
      <c r="I19" s="333"/>
      <c r="J19" s="333"/>
      <c r="K19" s="335"/>
    </row>
    <row r="20" spans="1:11" ht="12.75">
      <c r="A20" s="332"/>
      <c r="B20" s="324"/>
      <c r="C20" s="324"/>
      <c r="D20" s="324"/>
      <c r="E20" s="324"/>
      <c r="F20" s="324"/>
      <c r="G20" s="324"/>
      <c r="H20" s="324"/>
      <c r="J20" s="341" t="s">
        <v>419</v>
      </c>
      <c r="K20" s="335"/>
    </row>
    <row r="21" spans="1:11" ht="12.75">
      <c r="A21" s="332"/>
      <c r="B21" s="342" t="s">
        <v>420</v>
      </c>
      <c r="C21" s="324"/>
      <c r="D21" s="343" t="s">
        <v>421</v>
      </c>
      <c r="E21" s="324"/>
      <c r="F21" s="324"/>
      <c r="G21" s="324"/>
      <c r="H21" s="324"/>
      <c r="J21" s="341" t="s">
        <v>482</v>
      </c>
      <c r="K21" s="335"/>
    </row>
    <row r="22" spans="1:11" ht="17.25">
      <c r="A22" s="332"/>
      <c r="B22" s="344" t="s">
        <v>479</v>
      </c>
      <c r="C22" s="345"/>
      <c r="D22" s="346"/>
      <c r="E22" s="347"/>
      <c r="F22" s="347"/>
      <c r="G22" s="347"/>
      <c r="H22" s="348"/>
      <c r="I22" s="349"/>
      <c r="J22" s="350" t="str">
        <f>IF(J32&lt;=150,"A","-")</f>
        <v>A</v>
      </c>
      <c r="K22" s="335"/>
    </row>
    <row r="23" spans="1:11" ht="18">
      <c r="A23" s="332"/>
      <c r="B23" s="351" t="s">
        <v>422</v>
      </c>
      <c r="C23" s="345"/>
      <c r="D23" s="346"/>
      <c r="E23" s="347"/>
      <c r="F23" s="347"/>
      <c r="G23" s="347"/>
      <c r="H23" s="348"/>
      <c r="I23" s="349"/>
      <c r="J23" s="350" t="str">
        <f>IF(J32&lt;151,"-",IF(J32&gt;170,"-",IF(J32&lt;=170,"B")))</f>
        <v>-</v>
      </c>
      <c r="K23" s="335"/>
    </row>
    <row r="24" spans="1:11" ht="18">
      <c r="A24" s="332"/>
      <c r="B24" s="351" t="s">
        <v>423</v>
      </c>
      <c r="C24" s="345"/>
      <c r="D24" s="346"/>
      <c r="E24" s="347"/>
      <c r="F24" s="347"/>
      <c r="G24" s="347"/>
      <c r="H24" s="348"/>
      <c r="I24" s="349"/>
      <c r="J24" s="350" t="str">
        <f>IF(J32&lt;171,"-",IF(J32&gt;190,"-",IF(J32&lt;=190,"C")))</f>
        <v>-</v>
      </c>
      <c r="K24" s="335"/>
    </row>
    <row r="25" spans="1:11" ht="18">
      <c r="A25" s="332"/>
      <c r="B25" s="351" t="s">
        <v>424</v>
      </c>
      <c r="C25" s="345"/>
      <c r="D25" s="346"/>
      <c r="E25" s="347"/>
      <c r="F25" s="347"/>
      <c r="G25" s="347"/>
      <c r="H25" s="348"/>
      <c r="I25" s="349"/>
      <c r="J25" s="352" t="str">
        <f>IF(J32&lt;191,"-",IF(J32&gt;230,"-",IF(J32&lt;=230,"D")))</f>
        <v>-</v>
      </c>
      <c r="K25" s="335"/>
    </row>
    <row r="26" spans="1:11" ht="18">
      <c r="A26" s="332"/>
      <c r="B26" s="351" t="s">
        <v>425</v>
      </c>
      <c r="C26" s="345"/>
      <c r="D26" s="346"/>
      <c r="E26" s="347"/>
      <c r="F26" s="347"/>
      <c r="G26" s="347"/>
      <c r="H26" s="348"/>
      <c r="I26" s="349"/>
      <c r="J26" s="352" t="str">
        <f>IF(J32&lt;231,"-",IF(J32&gt;270,"-",IF(J32&lt;=270,"E")))</f>
        <v>-</v>
      </c>
      <c r="K26" s="335"/>
    </row>
    <row r="27" spans="1:11" ht="18">
      <c r="A27" s="332"/>
      <c r="B27" s="351" t="s">
        <v>426</v>
      </c>
      <c r="C27" s="345"/>
      <c r="D27" s="346"/>
      <c r="E27" s="347"/>
      <c r="F27" s="347"/>
      <c r="G27" s="347"/>
      <c r="H27" s="348"/>
      <c r="I27" s="349"/>
      <c r="J27" s="352" t="str">
        <f>IF(J32&lt;271,"-",IF(J32&gt;320,"-",IF(J32&lt;=320,"F")))</f>
        <v>-</v>
      </c>
      <c r="K27" s="335"/>
    </row>
    <row r="28" spans="1:11" ht="18">
      <c r="A28" s="332"/>
      <c r="B28" s="353" t="s">
        <v>481</v>
      </c>
      <c r="C28" s="345"/>
      <c r="D28" s="346"/>
      <c r="E28" s="347"/>
      <c r="F28" s="347"/>
      <c r="G28" s="347"/>
      <c r="H28" s="348"/>
      <c r="I28" s="349"/>
      <c r="J28" s="352" t="str">
        <f>IF(J32&gt;=321,"G","-")</f>
        <v>-</v>
      </c>
      <c r="K28" s="335"/>
    </row>
    <row r="29" spans="1:11" ht="12.75">
      <c r="A29" s="332"/>
      <c r="B29" s="324"/>
      <c r="C29" s="324"/>
      <c r="D29" s="354" t="s">
        <v>427</v>
      </c>
      <c r="E29" s="324"/>
      <c r="F29" s="324"/>
      <c r="G29" s="324"/>
      <c r="H29" s="324"/>
      <c r="I29" s="324"/>
      <c r="J29" s="324"/>
      <c r="K29" s="335"/>
    </row>
    <row r="30" spans="1:11" ht="12.75">
      <c r="A30" s="332"/>
      <c r="B30" s="333"/>
      <c r="C30" s="333"/>
      <c r="D30" s="333"/>
      <c r="E30" s="333"/>
      <c r="F30" s="333"/>
      <c r="G30" s="333"/>
      <c r="H30" s="333"/>
      <c r="I30" s="333"/>
      <c r="J30" s="333"/>
      <c r="K30" s="335"/>
    </row>
    <row r="31" spans="1:11" s="355" customFormat="1" ht="12.75">
      <c r="A31" s="332"/>
      <c r="B31" s="329"/>
      <c r="C31" s="329"/>
      <c r="D31" s="329"/>
      <c r="E31" s="329"/>
      <c r="F31" s="329"/>
      <c r="G31" s="329"/>
      <c r="H31" s="329"/>
      <c r="I31" s="329"/>
      <c r="J31" s="329"/>
      <c r="K31" s="335"/>
    </row>
    <row r="32" spans="1:11" ht="17.25">
      <c r="A32" s="332"/>
      <c r="B32" s="356" t="s">
        <v>500</v>
      </c>
      <c r="C32" s="324"/>
      <c r="D32" s="324"/>
      <c r="E32" s="324"/>
      <c r="F32" s="324"/>
      <c r="G32" s="324"/>
      <c r="H32" s="324"/>
      <c r="I32" s="324"/>
      <c r="J32" s="357">
        <f>'ET-luvun Laskenta'!AE94</f>
        <v>130</v>
      </c>
      <c r="K32" s="335"/>
    </row>
    <row r="33" spans="1:11" ht="12.75">
      <c r="A33" s="332"/>
      <c r="B33" s="356" t="s">
        <v>501</v>
      </c>
      <c r="C33" s="324"/>
      <c r="D33" s="324"/>
      <c r="E33" s="324"/>
      <c r="F33" s="324"/>
      <c r="G33" s="324"/>
      <c r="H33" s="324"/>
      <c r="I33" s="324"/>
      <c r="J33" s="324"/>
      <c r="K33" s="335"/>
    </row>
    <row r="34" spans="1:11" ht="12.75">
      <c r="A34" s="332"/>
      <c r="B34" s="324"/>
      <c r="C34" s="324"/>
      <c r="D34" s="324"/>
      <c r="E34" s="324"/>
      <c r="F34" s="324"/>
      <c r="G34" s="324"/>
      <c r="H34" s="324"/>
      <c r="I34" s="324"/>
      <c r="J34" s="324"/>
      <c r="K34" s="335"/>
    </row>
    <row r="35" spans="1:11" ht="12.75">
      <c r="A35" s="332"/>
      <c r="B35" s="358" t="s">
        <v>428</v>
      </c>
      <c r="C35" s="324"/>
      <c r="D35" s="324"/>
      <c r="E35" s="324"/>
      <c r="F35" s="324"/>
      <c r="G35" s="324"/>
      <c r="H35" s="324"/>
      <c r="I35" s="324"/>
      <c r="J35" s="324"/>
      <c r="K35" s="335"/>
    </row>
    <row r="36" spans="1:11" ht="12.75">
      <c r="A36" s="332"/>
      <c r="B36" s="358" t="s">
        <v>507</v>
      </c>
      <c r="C36" s="324"/>
      <c r="D36" s="324"/>
      <c r="E36" s="324"/>
      <c r="F36" s="324"/>
      <c r="G36" s="324"/>
      <c r="H36" s="324"/>
      <c r="I36" s="324"/>
      <c r="J36" s="324"/>
      <c r="K36" s="335"/>
    </row>
    <row r="37" spans="1:11" ht="12.75">
      <c r="A37" s="332"/>
      <c r="B37" s="324"/>
      <c r="C37" s="324"/>
      <c r="D37" s="324"/>
      <c r="E37" s="324"/>
      <c r="F37" s="324"/>
      <c r="G37" s="324"/>
      <c r="H37" s="324"/>
      <c r="I37" s="324"/>
      <c r="J37" s="324"/>
      <c r="K37" s="335"/>
    </row>
    <row r="38" spans="1:11" ht="12.75">
      <c r="A38" s="332"/>
      <c r="B38" s="333"/>
      <c r="C38" s="333"/>
      <c r="D38" s="333"/>
      <c r="E38" s="333"/>
      <c r="F38" s="333"/>
      <c r="G38" s="333"/>
      <c r="H38" s="333"/>
      <c r="I38" s="333"/>
      <c r="J38" s="333"/>
      <c r="K38" s="335"/>
    </row>
    <row r="39" spans="1:11" ht="12.75">
      <c r="A39" s="359"/>
      <c r="B39" s="360"/>
      <c r="C39" s="360"/>
      <c r="D39" s="360"/>
      <c r="E39" s="360"/>
      <c r="F39" s="360"/>
      <c r="G39" s="360"/>
      <c r="H39" s="360"/>
      <c r="I39" s="360"/>
      <c r="J39" s="360"/>
      <c r="K39" s="335"/>
    </row>
    <row r="40" spans="1:11" ht="12.75">
      <c r="A40" s="361"/>
      <c r="B40" s="362"/>
      <c r="C40" s="362"/>
      <c r="D40" s="362"/>
      <c r="E40" s="362"/>
      <c r="F40" s="363"/>
      <c r="G40" s="362"/>
      <c r="H40" s="362"/>
      <c r="I40" s="362"/>
      <c r="J40" s="362"/>
      <c r="K40" s="327"/>
    </row>
    <row r="41" spans="1:11" ht="12.75">
      <c r="A41" s="323" t="s">
        <v>429</v>
      </c>
      <c r="B41" s="324"/>
      <c r="C41" s="324"/>
      <c r="D41" s="324"/>
      <c r="E41" s="324"/>
      <c r="F41" s="364"/>
      <c r="G41" s="324" t="s">
        <v>430</v>
      </c>
      <c r="H41" s="324"/>
      <c r="I41" s="324"/>
      <c r="J41" s="324"/>
      <c r="K41" s="327"/>
    </row>
    <row r="42" spans="1:11" ht="12.75">
      <c r="A42" s="365" t="str">
        <f>'ET-luvun Laskenta'!C6</f>
        <v>Päivi Päämies</v>
      </c>
      <c r="B42" s="366"/>
      <c r="C42" s="366"/>
      <c r="D42" s="366"/>
      <c r="E42" s="366"/>
      <c r="F42" s="367"/>
      <c r="G42" s="552" t="s">
        <v>480</v>
      </c>
      <c r="H42" s="552"/>
      <c r="I42" s="552"/>
      <c r="J42" s="552"/>
      <c r="K42" s="553"/>
    </row>
    <row r="43" spans="1:11" ht="12.75">
      <c r="A43" s="556"/>
      <c r="B43" s="552"/>
      <c r="C43" s="552"/>
      <c r="D43" s="552"/>
      <c r="E43" s="552"/>
      <c r="F43" s="553"/>
      <c r="G43" s="552"/>
      <c r="H43" s="552"/>
      <c r="I43" s="552"/>
      <c r="J43" s="552"/>
      <c r="K43" s="553"/>
    </row>
    <row r="44" spans="1:11" ht="12.75">
      <c r="A44" s="556"/>
      <c r="B44" s="552"/>
      <c r="C44" s="552"/>
      <c r="D44" s="552"/>
      <c r="E44" s="552"/>
      <c r="F44" s="553"/>
      <c r="G44" s="552"/>
      <c r="H44" s="552"/>
      <c r="I44" s="552"/>
      <c r="J44" s="552"/>
      <c r="K44" s="553"/>
    </row>
    <row r="45" spans="1:11" ht="12.75">
      <c r="A45" s="323" t="s">
        <v>431</v>
      </c>
      <c r="B45" s="324"/>
      <c r="C45" s="324"/>
      <c r="D45" s="324"/>
      <c r="E45" s="324"/>
      <c r="F45" s="364"/>
      <c r="G45" s="324"/>
      <c r="H45" s="324"/>
      <c r="I45" s="324"/>
      <c r="J45" s="324"/>
      <c r="K45" s="327"/>
    </row>
    <row r="46" spans="1:11" ht="12.75">
      <c r="A46" s="368"/>
      <c r="B46" s="366"/>
      <c r="C46" s="366"/>
      <c r="D46" s="366"/>
      <c r="E46" s="324"/>
      <c r="F46" s="364"/>
      <c r="G46" s="324"/>
      <c r="H46" s="324"/>
      <c r="I46" s="324"/>
      <c r="J46" s="324"/>
      <c r="K46" s="327"/>
    </row>
    <row r="47" spans="1:11" ht="12.75">
      <c r="A47" s="368"/>
      <c r="B47" s="366"/>
      <c r="C47" s="366"/>
      <c r="D47" s="366"/>
      <c r="E47" s="324"/>
      <c r="F47" s="364"/>
      <c r="G47" s="324"/>
      <c r="H47" s="324"/>
      <c r="I47" s="324"/>
      <c r="J47" s="324"/>
      <c r="K47" s="327"/>
    </row>
    <row r="48" spans="1:11" ht="12.75">
      <c r="A48" s="369"/>
      <c r="B48" s="370"/>
      <c r="C48" s="370"/>
      <c r="D48" s="370"/>
      <c r="E48" s="370"/>
      <c r="F48" s="371"/>
      <c r="G48" s="370"/>
      <c r="H48" s="370"/>
      <c r="I48" s="370"/>
      <c r="J48" s="370"/>
      <c r="K48" s="372"/>
    </row>
    <row r="49" spans="1:11" ht="12.75">
      <c r="A49" s="361" t="s">
        <v>432</v>
      </c>
      <c r="B49" s="362"/>
      <c r="C49" s="362"/>
      <c r="D49" s="362"/>
      <c r="E49" s="362"/>
      <c r="F49" s="363"/>
      <c r="G49" s="362" t="s">
        <v>433</v>
      </c>
      <c r="H49" s="362"/>
      <c r="I49" s="362"/>
      <c r="J49" s="362"/>
      <c r="K49" s="327"/>
    </row>
    <row r="50" spans="1:11" ht="12.75">
      <c r="A50" s="554" t="s">
        <v>300</v>
      </c>
      <c r="B50" s="555"/>
      <c r="C50" s="555"/>
      <c r="D50" s="555"/>
      <c r="E50" s="337"/>
      <c r="F50" s="373"/>
      <c r="G50" s="555" t="s">
        <v>301</v>
      </c>
      <c r="H50" s="555"/>
      <c r="I50" s="555"/>
      <c r="J50" s="337"/>
      <c r="K50" s="374"/>
    </row>
    <row r="51" spans="1:11" ht="12.75">
      <c r="A51" s="369"/>
      <c r="B51" s="370"/>
      <c r="C51" s="370"/>
      <c r="D51" s="370"/>
      <c r="E51" s="370"/>
      <c r="F51" s="371"/>
      <c r="G51" s="370"/>
      <c r="H51" s="370"/>
      <c r="I51" s="370"/>
      <c r="J51" s="370"/>
      <c r="K51" s="372"/>
    </row>
    <row r="52" spans="2:10" ht="12.75">
      <c r="B52" s="375"/>
      <c r="C52" s="375"/>
      <c r="D52" s="375"/>
      <c r="E52" s="375"/>
      <c r="F52" s="375"/>
      <c r="G52" s="375"/>
      <c r="H52" s="375"/>
      <c r="I52" s="375"/>
      <c r="J52" s="375"/>
    </row>
    <row r="53" spans="1:10" ht="12.75">
      <c r="A53" s="376" t="s">
        <v>30</v>
      </c>
      <c r="B53" s="375"/>
      <c r="C53" s="375"/>
      <c r="D53" s="375"/>
      <c r="E53" s="375"/>
      <c r="F53" s="375"/>
      <c r="G53" s="375"/>
      <c r="H53" s="375"/>
      <c r="I53" s="375"/>
      <c r="J53" s="375"/>
    </row>
    <row r="54" spans="1:10" ht="12.75">
      <c r="A54" s="376" t="s">
        <v>31</v>
      </c>
      <c r="B54" s="375"/>
      <c r="C54" s="375"/>
      <c r="D54" s="375"/>
      <c r="E54" s="375"/>
      <c r="F54" s="375"/>
      <c r="G54" s="375"/>
      <c r="H54" s="375"/>
      <c r="I54" s="375"/>
      <c r="J54" s="375"/>
    </row>
    <row r="55" spans="1:10" ht="12.75">
      <c r="A55" s="376"/>
      <c r="B55" s="375"/>
      <c r="C55" s="375"/>
      <c r="D55" s="375"/>
      <c r="E55" s="375"/>
      <c r="F55" s="375"/>
      <c r="G55" s="375"/>
      <c r="H55" s="375"/>
      <c r="I55" s="375"/>
      <c r="J55" s="375"/>
    </row>
    <row r="56" spans="1:10" ht="12.75">
      <c r="A56" s="377" t="s">
        <v>624</v>
      </c>
      <c r="B56" s="375"/>
      <c r="C56" s="375"/>
      <c r="D56" s="375"/>
      <c r="E56" s="375"/>
      <c r="F56" s="375"/>
      <c r="G56" s="375"/>
      <c r="H56" s="375"/>
      <c r="I56" s="375"/>
      <c r="J56" s="375"/>
    </row>
    <row r="57" spans="1:10" ht="12.75">
      <c r="A57" s="377"/>
      <c r="B57" s="375"/>
      <c r="C57" s="375"/>
      <c r="D57" s="375"/>
      <c r="E57" s="375"/>
      <c r="F57" s="375"/>
      <c r="G57" s="375"/>
      <c r="H57" s="375"/>
      <c r="I57" s="375"/>
      <c r="J57" s="375"/>
    </row>
    <row r="59" spans="1:11" ht="12.75">
      <c r="A59" s="320"/>
      <c r="B59" s="321"/>
      <c r="C59" s="321"/>
      <c r="D59" s="321"/>
      <c r="E59" s="321"/>
      <c r="F59" s="321"/>
      <c r="G59" s="321"/>
      <c r="H59" s="321"/>
      <c r="I59" s="321"/>
      <c r="J59" s="321"/>
      <c r="K59" s="322"/>
    </row>
    <row r="60" spans="1:11" ht="17.25">
      <c r="A60" s="378" t="s">
        <v>434</v>
      </c>
      <c r="B60" s="324"/>
      <c r="C60" s="324"/>
      <c r="D60" s="324"/>
      <c r="E60" s="324"/>
      <c r="F60" s="324"/>
      <c r="G60" s="324"/>
      <c r="H60" s="324"/>
      <c r="I60" s="324"/>
      <c r="J60" s="324"/>
      <c r="K60" s="327"/>
    </row>
    <row r="61" spans="1:11" ht="17.25">
      <c r="A61" s="379"/>
      <c r="B61" s="324"/>
      <c r="C61" s="324"/>
      <c r="D61" s="324"/>
      <c r="E61" s="324"/>
      <c r="F61" s="324"/>
      <c r="G61" s="324"/>
      <c r="H61" s="324"/>
      <c r="I61" s="324"/>
      <c r="J61" s="324"/>
      <c r="K61" s="327"/>
    </row>
    <row r="62" spans="1:11" s="383" customFormat="1" ht="15">
      <c r="A62" s="380" t="s">
        <v>435</v>
      </c>
      <c r="B62" s="381"/>
      <c r="C62" s="381"/>
      <c r="D62" s="381"/>
      <c r="E62" s="381"/>
      <c r="F62" s="381"/>
      <c r="G62" s="381"/>
      <c r="H62" s="381"/>
      <c r="I62" s="381"/>
      <c r="J62" s="381"/>
      <c r="K62" s="382"/>
    </row>
    <row r="63" spans="1:11" ht="13.5">
      <c r="A63" s="384" t="s">
        <v>281</v>
      </c>
      <c r="B63" s="356"/>
      <c r="C63" s="356"/>
      <c r="D63" s="356">
        <f>'ET-luvun Laskenta'!C28</f>
        <v>200</v>
      </c>
      <c r="E63" s="385" t="s">
        <v>398</v>
      </c>
      <c r="F63" s="386"/>
      <c r="G63" s="356"/>
      <c r="H63" s="356"/>
      <c r="I63" s="356"/>
      <c r="J63" s="356"/>
      <c r="K63" s="387"/>
    </row>
    <row r="64" spans="1:11" ht="13.5">
      <c r="A64" s="384" t="s">
        <v>231</v>
      </c>
      <c r="B64" s="356"/>
      <c r="C64" s="356"/>
      <c r="D64" s="356">
        <f>'ET-luvun Laskenta'!C27</f>
        <v>690</v>
      </c>
      <c r="E64" s="385" t="s">
        <v>497</v>
      </c>
      <c r="F64" s="356" t="s">
        <v>436</v>
      </c>
      <c r="G64" s="388"/>
      <c r="H64" s="386">
        <f>'ET-luvun Laskenta'!C32</f>
        <v>430</v>
      </c>
      <c r="I64" s="385" t="s">
        <v>499</v>
      </c>
      <c r="J64" s="386"/>
      <c r="K64" s="387"/>
    </row>
    <row r="65" spans="1:11" ht="13.5">
      <c r="A65" s="384" t="s">
        <v>392</v>
      </c>
      <c r="B65" s="356"/>
      <c r="C65" s="356"/>
      <c r="D65" s="356">
        <f>'ET-luvun Laskenta'!C29</f>
        <v>160</v>
      </c>
      <c r="E65" s="385" t="s">
        <v>498</v>
      </c>
      <c r="F65" s="356" t="s">
        <v>437</v>
      </c>
      <c r="G65" s="388"/>
      <c r="H65" s="386">
        <f>'ET-luvun Laskenta'!D61</f>
        <v>4</v>
      </c>
      <c r="I65" s="356"/>
      <c r="J65" s="356"/>
      <c r="K65" s="387"/>
    </row>
    <row r="66" spans="1:11" s="383" customFormat="1" ht="15">
      <c r="A66" s="380" t="s">
        <v>438</v>
      </c>
      <c r="B66" s="381"/>
      <c r="C66" s="381"/>
      <c r="D66" s="381"/>
      <c r="E66" s="381"/>
      <c r="F66" s="381"/>
      <c r="G66" s="381"/>
      <c r="H66" s="381"/>
      <c r="I66" s="381"/>
      <c r="J66" s="381"/>
      <c r="K66" s="382"/>
    </row>
    <row r="67" spans="1:11" ht="12.75">
      <c r="A67" s="323"/>
      <c r="B67" s="324"/>
      <c r="C67" s="324"/>
      <c r="D67" s="324"/>
      <c r="E67" s="324"/>
      <c r="F67" s="324"/>
      <c r="G67" s="324"/>
      <c r="H67" s="324"/>
      <c r="I67" s="324"/>
      <c r="J67" s="324"/>
      <c r="K67" s="327"/>
    </row>
    <row r="68" spans="1:11" s="393" customFormat="1" ht="12.75">
      <c r="A68" s="389" t="s">
        <v>254</v>
      </c>
      <c r="B68" s="390"/>
      <c r="C68" s="390"/>
      <c r="D68" s="390"/>
      <c r="E68" s="390"/>
      <c r="F68" s="391"/>
      <c r="G68" s="342" t="s">
        <v>439</v>
      </c>
      <c r="H68" s="342" t="s">
        <v>440</v>
      </c>
      <c r="I68" s="390"/>
      <c r="J68" s="390"/>
      <c r="K68" s="392"/>
    </row>
    <row r="69" spans="1:11" s="393" customFormat="1" ht="12.75">
      <c r="A69" s="394"/>
      <c r="B69" s="390"/>
      <c r="C69" s="390"/>
      <c r="D69" s="390"/>
      <c r="E69" s="390"/>
      <c r="F69" s="391"/>
      <c r="G69" s="395" t="s">
        <v>495</v>
      </c>
      <c r="H69" s="395" t="s">
        <v>523</v>
      </c>
      <c r="I69" s="390"/>
      <c r="J69" s="390"/>
      <c r="K69" s="392"/>
    </row>
    <row r="70" spans="1:11" s="393" customFormat="1" ht="12.75">
      <c r="A70" s="384" t="s">
        <v>379</v>
      </c>
      <c r="B70" s="390"/>
      <c r="C70" s="390"/>
      <c r="D70" s="390"/>
      <c r="E70" s="390"/>
      <c r="F70" s="391"/>
      <c r="G70" s="396"/>
      <c r="H70" s="396"/>
      <c r="I70" s="390"/>
      <c r="J70" s="390"/>
      <c r="K70" s="392"/>
    </row>
    <row r="71" spans="1:11" s="393" customFormat="1" ht="12.75">
      <c r="A71" s="397" t="str">
        <f>'ET-luvun Laskenta'!B41</f>
        <v>   Ulkoseinä 1: Siporex 500mm</v>
      </c>
      <c r="B71" s="390"/>
      <c r="C71" s="390"/>
      <c r="D71" s="390"/>
      <c r="E71" s="390"/>
      <c r="F71" s="391"/>
      <c r="G71" s="398">
        <f>'ET-luvun Laskenta'!C41</f>
        <v>140</v>
      </c>
      <c r="H71" s="399">
        <f>'ET-luvun Laskenta'!D41</f>
        <v>0.21</v>
      </c>
      <c r="I71" s="390"/>
      <c r="J71" s="390"/>
      <c r="K71" s="392"/>
    </row>
    <row r="72" spans="1:11" s="393" customFormat="1" ht="12.75">
      <c r="A72" s="397" t="str">
        <f>'ET-luvun Laskenta'!B42</f>
        <v>   Ulkoseinä 2: Siporex 250mm + PUR 100mm + puuverhoilu</v>
      </c>
      <c r="B72" s="390"/>
      <c r="C72" s="390"/>
      <c r="D72" s="390"/>
      <c r="E72" s="390"/>
      <c r="F72" s="391"/>
      <c r="G72" s="396">
        <f>'ET-luvun Laskenta'!C42</f>
        <v>13</v>
      </c>
      <c r="H72" s="399">
        <f>'ET-luvun Laskenta'!D42</f>
        <v>0.17</v>
      </c>
      <c r="I72" s="390"/>
      <c r="J72" s="390"/>
      <c r="K72" s="392"/>
    </row>
    <row r="73" spans="1:11" s="393" customFormat="1" ht="12.75">
      <c r="A73" s="400" t="s">
        <v>132</v>
      </c>
      <c r="B73" s="390"/>
      <c r="C73" s="390"/>
      <c r="D73" s="390"/>
      <c r="E73" s="390"/>
      <c r="F73" s="391"/>
      <c r="G73" s="396"/>
      <c r="H73" s="396"/>
      <c r="I73" s="390"/>
      <c r="J73" s="390"/>
      <c r="K73" s="392"/>
    </row>
    <row r="74" spans="1:11" s="393" customFormat="1" ht="12.75">
      <c r="A74" s="105" t="str">
        <f>'ET-luvun Laskenta'!$B$44</f>
        <v>   Harjakatto, Siporex 250mm + puhallusvilla 400mm</v>
      </c>
      <c r="B74" s="390"/>
      <c r="C74" s="390"/>
      <c r="D74" s="390"/>
      <c r="E74" s="390"/>
      <c r="F74" s="391"/>
      <c r="G74" s="398">
        <f>'ET-luvun Laskenta'!C44</f>
        <v>80</v>
      </c>
      <c r="H74" s="399">
        <f>'ET-luvun Laskenta'!D44</f>
        <v>0.08</v>
      </c>
      <c r="I74" s="390"/>
      <c r="J74" s="390"/>
      <c r="K74" s="392"/>
    </row>
    <row r="75" spans="1:11" s="393" customFormat="1" ht="12.75">
      <c r="A75" s="384" t="s">
        <v>382</v>
      </c>
      <c r="B75" s="390"/>
      <c r="C75" s="390"/>
      <c r="D75" s="390"/>
      <c r="E75" s="390"/>
      <c r="F75" s="391"/>
      <c r="G75" s="396"/>
      <c r="H75" s="396"/>
      <c r="I75" s="390"/>
      <c r="J75" s="390"/>
      <c r="K75" s="392"/>
    </row>
    <row r="76" spans="1:11" s="393" customFormat="1" ht="12.75">
      <c r="A76" s="397" t="str">
        <f>'ET-luvun Laskenta'!B46</f>
        <v>   Alapohja 1: ryömintätilaan; Siporex 250mm + PUR 120mm +</v>
      </c>
      <c r="B76" s="390"/>
      <c r="C76" s="390"/>
      <c r="D76" s="390"/>
      <c r="E76" s="390"/>
      <c r="F76" s="391"/>
      <c r="G76" s="398">
        <f>'ET-luvun Laskenta'!C46</f>
        <v>50</v>
      </c>
      <c r="H76" s="399">
        <f>'ET-luvun Laskenta'!D46</f>
        <v>0.14</v>
      </c>
      <c r="I76" s="390"/>
      <c r="J76" s="390"/>
      <c r="K76" s="392"/>
    </row>
    <row r="77" spans="1:11" s="393" customFormat="1" ht="12.75">
      <c r="A77" s="105" t="str">
        <f>'ET-luvun Laskenta'!$B$48</f>
        <v>   Alapohja 2: maanvastainen; EPS 200mm + betonilaatta 80mm +  </v>
      </c>
      <c r="B77" s="390"/>
      <c r="C77" s="390"/>
      <c r="D77" s="390"/>
      <c r="E77" s="390"/>
      <c r="F77" s="391"/>
      <c r="G77" s="396">
        <f>'ET-luvun Laskenta'!C48</f>
        <v>30</v>
      </c>
      <c r="H77" s="399">
        <f>'ET-luvun Laskenta'!D48</f>
        <v>0.2</v>
      </c>
      <c r="I77" s="390"/>
      <c r="J77" s="390"/>
      <c r="K77" s="392"/>
    </row>
    <row r="78" spans="1:11" s="393" customFormat="1" ht="15">
      <c r="A78" s="384" t="s">
        <v>122</v>
      </c>
      <c r="B78" s="390"/>
      <c r="C78" s="390"/>
      <c r="D78" s="390"/>
      <c r="E78" s="390"/>
      <c r="F78" s="391"/>
      <c r="G78" s="396"/>
      <c r="H78" s="396"/>
      <c r="I78" s="342" t="s">
        <v>483</v>
      </c>
      <c r="J78" s="342" t="s">
        <v>484</v>
      </c>
      <c r="K78" s="392"/>
    </row>
    <row r="79" spans="1:11" s="393" customFormat="1" ht="12.75">
      <c r="A79" s="397" t="str">
        <f>'ET-luvun Laskenta'!B51</f>
        <v>   pohjoiseen   N</v>
      </c>
      <c r="B79" s="390"/>
      <c r="C79" s="390"/>
      <c r="D79" s="390"/>
      <c r="E79" s="390"/>
      <c r="F79" s="391"/>
      <c r="G79" s="401">
        <f>'ET-luvun Laskenta'!C51</f>
        <v>5</v>
      </c>
      <c r="H79" s="399">
        <f>'ET-luvun Laskenta'!D51</f>
        <v>1.3</v>
      </c>
      <c r="I79" s="399">
        <f>'ET-luvun Laskenta'!D80</f>
        <v>0.5</v>
      </c>
      <c r="J79" s="399">
        <f>'ET-luvun Laskenta'!D83</f>
        <v>0.75</v>
      </c>
      <c r="K79" s="392"/>
    </row>
    <row r="80" spans="1:11" s="393" customFormat="1" ht="12.75">
      <c r="A80" s="397" t="str">
        <f>'ET-luvun Laskenta'!B52</f>
        <v>   itään            E</v>
      </c>
      <c r="B80" s="390"/>
      <c r="C80" s="390"/>
      <c r="D80" s="390"/>
      <c r="E80" s="390"/>
      <c r="F80" s="391"/>
      <c r="G80" s="401">
        <f>'ET-luvun Laskenta'!C52</f>
        <v>5.6</v>
      </c>
      <c r="H80" s="399">
        <f>'ET-luvun Laskenta'!D52</f>
        <v>1</v>
      </c>
      <c r="I80" s="399">
        <f>I79</f>
        <v>0.5</v>
      </c>
      <c r="J80" s="399">
        <f>J79</f>
        <v>0.75</v>
      </c>
      <c r="K80" s="392"/>
    </row>
    <row r="81" spans="1:11" s="393" customFormat="1" ht="12.75">
      <c r="A81" s="402" t="str">
        <f>'ET-luvun Laskenta'!B53</f>
        <v>   etelään        S</v>
      </c>
      <c r="B81" s="390"/>
      <c r="C81" s="390"/>
      <c r="D81" s="390"/>
      <c r="E81" s="390"/>
      <c r="F81" s="391"/>
      <c r="G81" s="401">
        <f>'ET-luvun Laskenta'!C53</f>
        <v>16.5</v>
      </c>
      <c r="H81" s="399">
        <f>'ET-luvun Laskenta'!D53</f>
        <v>0.8</v>
      </c>
      <c r="I81" s="399">
        <f>I79</f>
        <v>0.5</v>
      </c>
      <c r="J81" s="399">
        <f>J79</f>
        <v>0.75</v>
      </c>
      <c r="K81" s="392"/>
    </row>
    <row r="82" spans="1:11" s="393" customFormat="1" ht="12.75">
      <c r="A82" s="397" t="str">
        <f>'ET-luvun Laskenta'!B54</f>
        <v>   länteen       W</v>
      </c>
      <c r="B82" s="390"/>
      <c r="C82" s="390"/>
      <c r="D82" s="390"/>
      <c r="E82" s="390"/>
      <c r="F82" s="391"/>
      <c r="G82" s="401">
        <f>'ET-luvun Laskenta'!C54</f>
        <v>7.9</v>
      </c>
      <c r="H82" s="399">
        <f>'ET-luvun Laskenta'!D54</f>
        <v>0.8</v>
      </c>
      <c r="I82" s="399">
        <f>I79</f>
        <v>0.5</v>
      </c>
      <c r="J82" s="399">
        <f>J79</f>
        <v>0.75</v>
      </c>
      <c r="K82" s="392"/>
    </row>
    <row r="83" spans="1:11" s="393" customFormat="1" ht="12.75">
      <c r="A83" s="384" t="s">
        <v>123</v>
      </c>
      <c r="B83" s="390"/>
      <c r="C83" s="390"/>
      <c r="D83" s="390"/>
      <c r="E83" s="390"/>
      <c r="F83" s="391"/>
      <c r="G83" s="401"/>
      <c r="H83" s="396"/>
      <c r="I83" s="403"/>
      <c r="J83" s="403"/>
      <c r="K83" s="392"/>
    </row>
    <row r="84" spans="1:11" s="393" customFormat="1" ht="12.75">
      <c r="A84" s="402" t="str">
        <f>'ET-luvun Laskenta'!B56</f>
        <v>   Puu-alumiinirunko, PUR-eriste</v>
      </c>
      <c r="B84" s="390"/>
      <c r="C84" s="390"/>
      <c r="D84" s="390"/>
      <c r="E84" s="390"/>
      <c r="F84" s="391"/>
      <c r="G84" s="401">
        <f>'ET-luvun Laskenta'!C56</f>
        <v>7</v>
      </c>
      <c r="H84" s="399">
        <f>'ET-luvun Laskenta'!D56</f>
        <v>1</v>
      </c>
      <c r="I84" s="403"/>
      <c r="J84" s="403"/>
      <c r="K84" s="392"/>
    </row>
    <row r="85" spans="1:11" s="393" customFormat="1" ht="12.75">
      <c r="A85" s="394"/>
      <c r="B85" s="390"/>
      <c r="C85" s="390"/>
      <c r="D85" s="390"/>
      <c r="E85" s="390"/>
      <c r="F85" s="391"/>
      <c r="G85" s="396"/>
      <c r="H85" s="396"/>
      <c r="I85" s="403"/>
      <c r="J85" s="403"/>
      <c r="K85" s="392"/>
    </row>
    <row r="86" spans="1:11" s="393" customFormat="1" ht="15">
      <c r="A86" s="384" t="s">
        <v>503</v>
      </c>
      <c r="B86" s="390"/>
      <c r="C86" s="390"/>
      <c r="D86" s="390"/>
      <c r="E86" s="390"/>
      <c r="F86" s="390"/>
      <c r="H86" s="390"/>
      <c r="I86" s="404">
        <f>'ET-luvun Laskenta'!D85</f>
        <v>200</v>
      </c>
      <c r="J86" s="405" t="s">
        <v>504</v>
      </c>
      <c r="K86" s="392"/>
    </row>
    <row r="87" spans="1:11" s="383" customFormat="1" ht="15">
      <c r="A87" s="380" t="s">
        <v>441</v>
      </c>
      <c r="B87" s="381"/>
      <c r="C87" s="381"/>
      <c r="D87" s="381"/>
      <c r="E87" s="381"/>
      <c r="F87" s="381"/>
      <c r="G87" s="381"/>
      <c r="H87" s="381"/>
      <c r="I87" s="406"/>
      <c r="J87" s="406"/>
      <c r="K87" s="382"/>
    </row>
    <row r="88" spans="1:11" ht="15">
      <c r="A88" s="323" t="s">
        <v>442</v>
      </c>
      <c r="B88" s="324"/>
      <c r="C88" s="324"/>
      <c r="D88" s="324"/>
      <c r="E88" s="324"/>
      <c r="F88" s="324"/>
      <c r="G88" s="324"/>
      <c r="H88" s="324"/>
      <c r="I88" s="407">
        <f>'ET-luvun Laskenta'!D86</f>
        <v>1.5</v>
      </c>
      <c r="J88" s="408" t="s">
        <v>443</v>
      </c>
      <c r="K88" s="327"/>
    </row>
    <row r="89" spans="1:11" ht="12.75">
      <c r="A89" s="323" t="s">
        <v>485</v>
      </c>
      <c r="B89" s="324"/>
      <c r="C89" s="324"/>
      <c r="D89" s="324"/>
      <c r="E89" s="324"/>
      <c r="F89" s="324"/>
      <c r="G89" s="324"/>
      <c r="H89" s="324"/>
      <c r="I89" s="409">
        <f>'ET-luvun Laskenta'!H41/1000</f>
        <v>0.05972222222222222</v>
      </c>
      <c r="J89" s="408" t="s">
        <v>505</v>
      </c>
      <c r="K89" s="327"/>
    </row>
    <row r="90" spans="1:11" ht="12.75">
      <c r="A90" s="323" t="s">
        <v>444</v>
      </c>
      <c r="B90" s="324"/>
      <c r="C90" s="324"/>
      <c r="D90" s="324"/>
      <c r="E90" s="324"/>
      <c r="F90" s="324"/>
      <c r="G90" s="324"/>
      <c r="H90" s="324"/>
      <c r="I90" s="407">
        <f>'ET-luvun Laskenta'!D90</f>
        <v>77</v>
      </c>
      <c r="J90" s="408" t="s">
        <v>445</v>
      </c>
      <c r="K90" s="327"/>
    </row>
    <row r="91" spans="1:11" s="383" customFormat="1" ht="15">
      <c r="A91" s="380" t="s">
        <v>446</v>
      </c>
      <c r="B91" s="381"/>
      <c r="C91" s="381"/>
      <c r="D91" s="381"/>
      <c r="E91" s="381"/>
      <c r="F91" s="381"/>
      <c r="G91" s="381"/>
      <c r="H91" s="381"/>
      <c r="I91" s="410"/>
      <c r="J91" s="410"/>
      <c r="K91" s="382"/>
    </row>
    <row r="92" spans="1:11" ht="12.75">
      <c r="A92" s="323" t="s">
        <v>447</v>
      </c>
      <c r="B92" s="324"/>
      <c r="C92" s="324"/>
      <c r="D92" s="324"/>
      <c r="E92" s="324"/>
      <c r="F92" s="324"/>
      <c r="G92" s="324"/>
      <c r="H92" s="324"/>
      <c r="I92" s="404">
        <f>'ET-luvun Laskenta'!D98</f>
        <v>73</v>
      </c>
      <c r="J92" s="411" t="s">
        <v>496</v>
      </c>
      <c r="K92" s="327"/>
    </row>
    <row r="93" spans="1:11" ht="12.75">
      <c r="A93" s="323" t="s">
        <v>486</v>
      </c>
      <c r="B93" s="324"/>
      <c r="C93" s="324"/>
      <c r="D93" s="324"/>
      <c r="E93" s="324"/>
      <c r="F93" s="324"/>
      <c r="G93" s="324"/>
      <c r="H93" s="388"/>
      <c r="I93" s="395" t="s">
        <v>448</v>
      </c>
      <c r="J93" s="412" t="s">
        <v>449</v>
      </c>
      <c r="K93" s="327"/>
    </row>
    <row r="94" spans="1:11" ht="12.75">
      <c r="A94" s="323"/>
      <c r="B94" s="324"/>
      <c r="C94" s="324"/>
      <c r="D94" s="324"/>
      <c r="E94" s="324"/>
      <c r="F94" s="324"/>
      <c r="G94" s="324"/>
      <c r="H94" s="388"/>
      <c r="I94" s="557" t="s">
        <v>502</v>
      </c>
      <c r="J94" s="557"/>
      <c r="K94" s="327"/>
    </row>
    <row r="95" spans="1:11" s="383" customFormat="1" ht="15">
      <c r="A95" s="380" t="s">
        <v>450</v>
      </c>
      <c r="B95" s="381"/>
      <c r="C95" s="381"/>
      <c r="D95" s="381"/>
      <c r="E95" s="381"/>
      <c r="F95" s="381"/>
      <c r="G95" s="381"/>
      <c r="H95" s="381"/>
      <c r="I95" s="410"/>
      <c r="J95" s="410"/>
      <c r="K95" s="382"/>
    </row>
    <row r="96" spans="1:11" ht="12.75">
      <c r="A96" s="323" t="s">
        <v>451</v>
      </c>
      <c r="B96" s="324"/>
      <c r="C96" s="329"/>
      <c r="D96" s="339" t="str">
        <f>'ET-luvun Laskenta'!C102</f>
        <v>Maalämpöpumppu</v>
      </c>
      <c r="E96" s="329"/>
      <c r="F96" s="388"/>
      <c r="G96" s="324"/>
      <c r="H96" s="324"/>
      <c r="I96" s="413"/>
      <c r="J96" s="413"/>
      <c r="K96" s="327"/>
    </row>
    <row r="97" spans="1:11" ht="12.75">
      <c r="A97" s="414"/>
      <c r="B97" s="324"/>
      <c r="C97" s="324"/>
      <c r="D97" s="324" t="s">
        <v>452</v>
      </c>
      <c r="E97" s="324"/>
      <c r="F97" s="324"/>
      <c r="G97" s="324"/>
      <c r="H97" s="388"/>
      <c r="I97" s="395" t="s">
        <v>448</v>
      </c>
      <c r="J97" s="395" t="s">
        <v>449</v>
      </c>
      <c r="K97" s="327"/>
    </row>
    <row r="98" spans="1:11" s="393" customFormat="1" ht="12.75">
      <c r="A98" s="394"/>
      <c r="B98" s="390"/>
      <c r="C98" s="390"/>
      <c r="D98" s="390"/>
      <c r="E98" s="390"/>
      <c r="F98" s="390"/>
      <c r="G98" s="390"/>
      <c r="H98" s="391"/>
      <c r="I98" s="557" t="s">
        <v>502</v>
      </c>
      <c r="J98" s="557"/>
      <c r="K98" s="392"/>
    </row>
    <row r="99" spans="1:11" ht="12.75">
      <c r="A99" s="323" t="s">
        <v>453</v>
      </c>
      <c r="B99" s="324"/>
      <c r="C99" s="324"/>
      <c r="D99" s="339" t="str">
        <f>'ET-luvun Laskenta'!$C$103</f>
        <v>Vesikiertoinen lattialämmitys 32/28</v>
      </c>
      <c r="E99" s="329"/>
      <c r="F99" s="329"/>
      <c r="G99" s="329"/>
      <c r="H99" s="329"/>
      <c r="I99" s="413"/>
      <c r="J99" s="413"/>
      <c r="K99" s="327"/>
    </row>
    <row r="100" spans="1:11" ht="12.75">
      <c r="A100" s="323" t="s">
        <v>454</v>
      </c>
      <c r="B100" s="324"/>
      <c r="C100" s="324"/>
      <c r="D100" s="324"/>
      <c r="E100" s="324"/>
      <c r="F100" s="324"/>
      <c r="G100" s="324"/>
      <c r="H100" s="324"/>
      <c r="I100" s="413"/>
      <c r="J100" s="413"/>
      <c r="K100" s="327"/>
    </row>
    <row r="101" spans="1:11" ht="12.75">
      <c r="A101" s="323"/>
      <c r="B101" s="324"/>
      <c r="C101" s="324"/>
      <c r="D101" s="324"/>
      <c r="E101" s="324"/>
      <c r="F101" s="324"/>
      <c r="G101" s="324"/>
      <c r="H101" s="388"/>
      <c r="I101" s="395" t="s">
        <v>448</v>
      </c>
      <c r="J101" s="395" t="s">
        <v>449</v>
      </c>
      <c r="K101" s="327"/>
    </row>
    <row r="102" spans="1:11" ht="12.75">
      <c r="A102" s="323" t="s">
        <v>455</v>
      </c>
      <c r="B102" s="324"/>
      <c r="C102" s="324"/>
      <c r="D102" s="324"/>
      <c r="E102" s="324"/>
      <c r="F102" s="324"/>
      <c r="G102" s="324"/>
      <c r="H102" s="388"/>
      <c r="I102" s="557" t="s">
        <v>502</v>
      </c>
      <c r="J102" s="557"/>
      <c r="K102" s="327"/>
    </row>
    <row r="103" spans="1:11" ht="12.75">
      <c r="A103" s="323" t="s">
        <v>456</v>
      </c>
      <c r="B103" s="324"/>
      <c r="C103" s="324"/>
      <c r="D103" s="324"/>
      <c r="E103" s="324"/>
      <c r="F103" s="324"/>
      <c r="G103" s="324"/>
      <c r="H103" s="388"/>
      <c r="I103" s="557"/>
      <c r="J103" s="557" t="s">
        <v>502</v>
      </c>
      <c r="K103" s="327"/>
    </row>
    <row r="104" spans="1:11" ht="12.75">
      <c r="A104" s="323"/>
      <c r="B104" s="324"/>
      <c r="C104" s="324"/>
      <c r="D104" s="324"/>
      <c r="E104" s="324"/>
      <c r="F104" s="324"/>
      <c r="G104" s="324"/>
      <c r="H104" s="324"/>
      <c r="I104" s="324"/>
      <c r="J104" s="324"/>
      <c r="K104" s="327"/>
    </row>
    <row r="105" spans="1:11" s="383" customFormat="1" ht="15">
      <c r="A105" s="380" t="s">
        <v>457</v>
      </c>
      <c r="B105" s="381"/>
      <c r="C105" s="381"/>
      <c r="D105" s="381"/>
      <c r="E105" s="381"/>
      <c r="F105" s="381"/>
      <c r="G105" s="381"/>
      <c r="H105" s="381"/>
      <c r="I105" s="381"/>
      <c r="J105" s="381"/>
      <c r="K105" s="382"/>
    </row>
    <row r="106" spans="1:11" s="418" customFormat="1" ht="15">
      <c r="A106" s="415"/>
      <c r="B106" s="416"/>
      <c r="C106" s="416"/>
      <c r="D106" s="416"/>
      <c r="E106" s="416"/>
      <c r="F106" s="416"/>
      <c r="G106" s="416"/>
      <c r="H106" s="416"/>
      <c r="I106" s="416"/>
      <c r="J106" s="416"/>
      <c r="K106" s="417"/>
    </row>
    <row r="107" spans="1:11" ht="12.75">
      <c r="A107" s="323" t="s">
        <v>458</v>
      </c>
      <c r="B107" s="324"/>
      <c r="C107" s="324"/>
      <c r="D107" s="324"/>
      <c r="E107" s="324"/>
      <c r="F107" s="324"/>
      <c r="G107" s="324"/>
      <c r="H107" s="324"/>
      <c r="I107" s="419">
        <f>'ET-luvun Laskenta'!AD92</f>
        <v>15932.63485387528</v>
      </c>
      <c r="J107" s="358" t="s">
        <v>459</v>
      </c>
      <c r="K107" s="327"/>
    </row>
    <row r="108" spans="1:11" ht="12.75">
      <c r="A108" s="323" t="s">
        <v>460</v>
      </c>
      <c r="B108" s="324"/>
      <c r="C108" s="324"/>
      <c r="D108" s="324"/>
      <c r="E108" s="324"/>
      <c r="F108" s="324"/>
      <c r="G108" s="324"/>
      <c r="H108" s="324"/>
      <c r="I108" s="419">
        <f>'ET-luvun Laskenta'!AD93</f>
        <v>10000.000000000002</v>
      </c>
      <c r="J108" s="358" t="s">
        <v>459</v>
      </c>
      <c r="K108" s="327"/>
    </row>
    <row r="109" spans="1:11" ht="12.75">
      <c r="A109" s="323" t="s">
        <v>493</v>
      </c>
      <c r="B109" s="324"/>
      <c r="C109" s="324"/>
      <c r="D109" s="324"/>
      <c r="E109" s="324"/>
      <c r="F109" s="324"/>
      <c r="G109" s="324"/>
      <c r="H109" s="324"/>
      <c r="I109" s="420"/>
      <c r="J109" s="358" t="s">
        <v>459</v>
      </c>
      <c r="K109" s="327"/>
    </row>
    <row r="110" spans="1:11" ht="12.75">
      <c r="A110" s="323" t="s">
        <v>494</v>
      </c>
      <c r="B110" s="324"/>
      <c r="C110" s="324"/>
      <c r="D110" s="324"/>
      <c r="E110" s="324"/>
      <c r="F110" s="324"/>
      <c r="G110" s="324"/>
      <c r="H110" s="324"/>
      <c r="I110" s="419">
        <f>'ET-luvun Laskenta'!AD94</f>
        <v>25932.634853875283</v>
      </c>
      <c r="J110" s="358" t="s">
        <v>459</v>
      </c>
      <c r="K110" s="327"/>
    </row>
    <row r="111" spans="1:11" ht="17.25">
      <c r="A111" s="421" t="s">
        <v>461</v>
      </c>
      <c r="B111" s="370"/>
      <c r="C111" s="370"/>
      <c r="D111" s="370"/>
      <c r="E111" s="370"/>
      <c r="F111" s="370"/>
      <c r="G111" s="370"/>
      <c r="H111" s="370"/>
      <c r="I111" s="679">
        <f>'ET-luvun Laskenta'!AE94</f>
        <v>130</v>
      </c>
      <c r="J111" s="422" t="s">
        <v>571</v>
      </c>
      <c r="K111" s="372"/>
    </row>
    <row r="112" spans="2:11" ht="17.25">
      <c r="B112" s="324"/>
      <c r="C112" s="324"/>
      <c r="D112" s="324"/>
      <c r="E112" s="324"/>
      <c r="F112" s="324"/>
      <c r="G112" s="324"/>
      <c r="H112" s="324"/>
      <c r="I112" s="423"/>
      <c r="J112" s="358"/>
      <c r="K112" s="388"/>
    </row>
    <row r="113" spans="1:11" ht="17.25">
      <c r="A113" s="377" t="s">
        <v>624</v>
      </c>
      <c r="B113" s="324"/>
      <c r="C113" s="324"/>
      <c r="D113" s="324"/>
      <c r="E113" s="324"/>
      <c r="F113" s="324"/>
      <c r="G113" s="324"/>
      <c r="H113" s="324"/>
      <c r="I113" s="423"/>
      <c r="J113" s="358"/>
      <c r="K113" s="388"/>
    </row>
    <row r="114" spans="2:11" ht="17.25">
      <c r="B114" s="324"/>
      <c r="C114" s="324"/>
      <c r="D114" s="324"/>
      <c r="E114" s="324"/>
      <c r="F114" s="324"/>
      <c r="G114" s="324"/>
      <c r="H114" s="324"/>
      <c r="I114" s="423"/>
      <c r="J114" s="358"/>
      <c r="K114" s="388"/>
    </row>
    <row r="115" spans="2:11" ht="17.25">
      <c r="B115" s="324"/>
      <c r="C115" s="324"/>
      <c r="D115" s="324"/>
      <c r="E115" s="324"/>
      <c r="F115" s="324"/>
      <c r="G115" s="324"/>
      <c r="H115" s="324"/>
      <c r="I115" s="423"/>
      <c r="J115" s="358"/>
      <c r="K115" s="388"/>
    </row>
    <row r="116" spans="2:11" ht="17.25">
      <c r="B116" s="324"/>
      <c r="C116" s="324"/>
      <c r="D116" s="324"/>
      <c r="E116" s="324"/>
      <c r="F116" s="324"/>
      <c r="G116" s="324"/>
      <c r="H116" s="324"/>
      <c r="I116" s="423"/>
      <c r="J116" s="358"/>
      <c r="K116" s="388"/>
    </row>
    <row r="117" spans="1:11" ht="15">
      <c r="A117" s="424"/>
      <c r="B117" s="370"/>
      <c r="C117" s="370"/>
      <c r="D117" s="370"/>
      <c r="E117" s="370"/>
      <c r="F117" s="370"/>
      <c r="G117" s="370"/>
      <c r="H117" s="370"/>
      <c r="I117" s="425"/>
      <c r="J117" s="426"/>
      <c r="K117" s="424"/>
    </row>
    <row r="118" spans="1:11" ht="15">
      <c r="A118" s="323"/>
      <c r="B118" s="324"/>
      <c r="C118" s="324"/>
      <c r="D118" s="324"/>
      <c r="E118" s="324"/>
      <c r="F118" s="324"/>
      <c r="G118" s="324"/>
      <c r="H118" s="324"/>
      <c r="I118" s="427"/>
      <c r="J118" s="428"/>
      <c r="K118" s="327"/>
    </row>
    <row r="119" spans="1:11" ht="17.25">
      <c r="A119" s="378" t="s">
        <v>462</v>
      </c>
      <c r="B119" s="324"/>
      <c r="C119" s="324"/>
      <c r="D119" s="324"/>
      <c r="E119" s="324"/>
      <c r="F119" s="324"/>
      <c r="G119" s="324"/>
      <c r="H119" s="324"/>
      <c r="I119" s="324"/>
      <c r="J119" s="324"/>
      <c r="K119" s="327"/>
    </row>
    <row r="120" spans="1:11" ht="20.25">
      <c r="A120" s="558"/>
      <c r="B120" s="559"/>
      <c r="C120" s="559"/>
      <c r="D120" s="559"/>
      <c r="E120" s="559"/>
      <c r="F120" s="559"/>
      <c r="G120" s="559"/>
      <c r="H120" s="559"/>
      <c r="I120" s="559"/>
      <c r="J120" s="559"/>
      <c r="K120" s="560"/>
    </row>
    <row r="121" spans="1:11" ht="15">
      <c r="A121" s="561" t="s">
        <v>510</v>
      </c>
      <c r="B121" s="562"/>
      <c r="C121" s="562"/>
      <c r="D121" s="562"/>
      <c r="E121" s="562"/>
      <c r="F121" s="562"/>
      <c r="G121" s="562"/>
      <c r="H121" s="562"/>
      <c r="I121" s="562"/>
      <c r="J121" s="562"/>
      <c r="K121" s="563"/>
    </row>
    <row r="122" spans="1:11" ht="12.75">
      <c r="A122" s="564"/>
      <c r="B122" s="559"/>
      <c r="C122" s="559"/>
      <c r="D122" s="559"/>
      <c r="E122" s="559"/>
      <c r="F122" s="559"/>
      <c r="G122" s="559"/>
      <c r="H122" s="559"/>
      <c r="I122" s="559"/>
      <c r="J122" s="559"/>
      <c r="K122" s="560"/>
    </row>
    <row r="123" spans="1:11" ht="12.75">
      <c r="A123" s="564"/>
      <c r="B123" s="559"/>
      <c r="C123" s="559"/>
      <c r="D123" s="559"/>
      <c r="E123" s="559"/>
      <c r="F123" s="559"/>
      <c r="G123" s="559"/>
      <c r="H123" s="559"/>
      <c r="I123" s="559"/>
      <c r="J123" s="559"/>
      <c r="K123" s="560"/>
    </row>
    <row r="124" spans="1:11" ht="12.75">
      <c r="A124" s="564"/>
      <c r="B124" s="559"/>
      <c r="C124" s="559"/>
      <c r="D124" s="559"/>
      <c r="E124" s="559"/>
      <c r="F124" s="559"/>
      <c r="G124" s="559"/>
      <c r="H124" s="559"/>
      <c r="I124" s="559"/>
      <c r="J124" s="559"/>
      <c r="K124" s="560"/>
    </row>
    <row r="125" spans="1:11" ht="12.75">
      <c r="A125" s="564"/>
      <c r="B125" s="559"/>
      <c r="C125" s="559"/>
      <c r="D125" s="559"/>
      <c r="E125" s="559"/>
      <c r="F125" s="559"/>
      <c r="G125" s="559"/>
      <c r="H125" s="559"/>
      <c r="I125" s="559"/>
      <c r="J125" s="559"/>
      <c r="K125" s="560"/>
    </row>
    <row r="126" spans="1:11" ht="12.75">
      <c r="A126" s="564"/>
      <c r="B126" s="559"/>
      <c r="C126" s="559"/>
      <c r="D126" s="559"/>
      <c r="E126" s="559"/>
      <c r="F126" s="559"/>
      <c r="G126" s="559"/>
      <c r="H126" s="559"/>
      <c r="I126" s="559"/>
      <c r="J126" s="559"/>
      <c r="K126" s="560"/>
    </row>
    <row r="127" spans="1:11" ht="12.75">
      <c r="A127" s="564"/>
      <c r="B127" s="559"/>
      <c r="C127" s="559"/>
      <c r="D127" s="559"/>
      <c r="E127" s="559"/>
      <c r="F127" s="559"/>
      <c r="G127" s="559"/>
      <c r="H127" s="559"/>
      <c r="I127" s="559"/>
      <c r="J127" s="559"/>
      <c r="K127" s="560"/>
    </row>
    <row r="128" spans="1:11" ht="12.75">
      <c r="A128" s="564"/>
      <c r="B128" s="559"/>
      <c r="C128" s="559"/>
      <c r="D128" s="559"/>
      <c r="E128" s="559"/>
      <c r="F128" s="559"/>
      <c r="G128" s="559"/>
      <c r="H128" s="559"/>
      <c r="I128" s="559"/>
      <c r="J128" s="559"/>
      <c r="K128" s="560"/>
    </row>
    <row r="129" spans="1:11" ht="12.75">
      <c r="A129" s="564"/>
      <c r="B129" s="559"/>
      <c r="C129" s="559"/>
      <c r="D129" s="559"/>
      <c r="E129" s="559"/>
      <c r="F129" s="559"/>
      <c r="G129" s="559"/>
      <c r="H129" s="565"/>
      <c r="I129" s="559"/>
      <c r="J129" s="559"/>
      <c r="K129" s="560"/>
    </row>
    <row r="130" spans="1:11" ht="12.75">
      <c r="A130" s="566" t="s">
        <v>463</v>
      </c>
      <c r="B130" s="567"/>
      <c r="C130" s="567"/>
      <c r="D130" s="567"/>
      <c r="E130" s="567"/>
      <c r="F130" s="567"/>
      <c r="G130" s="567"/>
      <c r="H130" s="568"/>
      <c r="I130" s="569" t="s">
        <v>464</v>
      </c>
      <c r="J130" s="570"/>
      <c r="K130" s="560"/>
    </row>
    <row r="131" spans="1:11" ht="12.75">
      <c r="A131" s="571"/>
      <c r="B131" s="567"/>
      <c r="C131" s="567"/>
      <c r="D131" s="567"/>
      <c r="E131" s="567"/>
      <c r="F131" s="567"/>
      <c r="G131" s="567"/>
      <c r="H131" s="572" t="s">
        <v>465</v>
      </c>
      <c r="I131" s="572" t="s">
        <v>296</v>
      </c>
      <c r="J131" s="572" t="s">
        <v>466</v>
      </c>
      <c r="K131" s="560"/>
    </row>
    <row r="132" spans="1:11" ht="12.75">
      <c r="A132" s="573"/>
      <c r="B132" s="574"/>
      <c r="C132" s="574"/>
      <c r="D132" s="574"/>
      <c r="E132" s="574"/>
      <c r="F132" s="574"/>
      <c r="G132" s="574"/>
      <c r="H132" s="575"/>
      <c r="I132" s="575"/>
      <c r="J132" s="575"/>
      <c r="K132" s="560"/>
    </row>
    <row r="133" spans="1:11" ht="12.75">
      <c r="A133" s="573"/>
      <c r="B133" s="574"/>
      <c r="C133" s="574"/>
      <c r="D133" s="574"/>
      <c r="E133" s="574"/>
      <c r="F133" s="574"/>
      <c r="G133" s="574"/>
      <c r="H133" s="575"/>
      <c r="I133" s="575"/>
      <c r="J133" s="575"/>
      <c r="K133" s="560"/>
    </row>
    <row r="134" spans="1:11" ht="12.75">
      <c r="A134" s="576"/>
      <c r="B134" s="577"/>
      <c r="C134" s="577"/>
      <c r="D134" s="577"/>
      <c r="E134" s="577"/>
      <c r="F134" s="577"/>
      <c r="G134" s="577"/>
      <c r="H134" s="575"/>
      <c r="I134" s="575"/>
      <c r="J134" s="575"/>
      <c r="K134" s="560"/>
    </row>
    <row r="135" spans="1:11" ht="12.75">
      <c r="A135" s="564"/>
      <c r="B135" s="559"/>
      <c r="C135" s="559"/>
      <c r="D135" s="559"/>
      <c r="E135" s="559"/>
      <c r="F135" s="559"/>
      <c r="G135" s="559"/>
      <c r="H135" s="578"/>
      <c r="I135" s="578"/>
      <c r="J135" s="578"/>
      <c r="K135" s="560"/>
    </row>
    <row r="136" spans="1:11" ht="15">
      <c r="A136" s="561" t="s">
        <v>467</v>
      </c>
      <c r="B136" s="562"/>
      <c r="C136" s="562"/>
      <c r="D136" s="562"/>
      <c r="E136" s="562"/>
      <c r="F136" s="562"/>
      <c r="G136" s="562"/>
      <c r="H136" s="579"/>
      <c r="I136" s="579"/>
      <c r="J136" s="579"/>
      <c r="K136" s="563"/>
    </row>
    <row r="137" spans="1:11" ht="12.75">
      <c r="A137" s="564"/>
      <c r="B137" s="559"/>
      <c r="C137" s="559"/>
      <c r="D137" s="559"/>
      <c r="E137" s="559"/>
      <c r="F137" s="559"/>
      <c r="G137" s="559"/>
      <c r="H137" s="578"/>
      <c r="I137" s="578"/>
      <c r="J137" s="578"/>
      <c r="K137" s="560"/>
    </row>
    <row r="138" spans="1:11" ht="12.75">
      <c r="A138" s="564"/>
      <c r="B138" s="559"/>
      <c r="C138" s="559"/>
      <c r="D138" s="559"/>
      <c r="E138" s="559"/>
      <c r="F138" s="559"/>
      <c r="G138" s="559"/>
      <c r="H138" s="578"/>
      <c r="I138" s="578"/>
      <c r="J138" s="578"/>
      <c r="K138" s="560"/>
    </row>
    <row r="139" spans="1:11" ht="12.75">
      <c r="A139" s="564"/>
      <c r="B139" s="559"/>
      <c r="C139" s="559"/>
      <c r="D139" s="559"/>
      <c r="E139" s="559"/>
      <c r="F139" s="559"/>
      <c r="G139" s="559"/>
      <c r="H139" s="578"/>
      <c r="I139" s="578"/>
      <c r="J139" s="578"/>
      <c r="K139" s="560"/>
    </row>
    <row r="140" spans="1:11" ht="12.75">
      <c r="A140" s="564"/>
      <c r="B140" s="559"/>
      <c r="C140" s="559"/>
      <c r="D140" s="559"/>
      <c r="E140" s="559"/>
      <c r="F140" s="559"/>
      <c r="G140" s="559"/>
      <c r="H140" s="578"/>
      <c r="I140" s="578"/>
      <c r="J140" s="578"/>
      <c r="K140" s="560"/>
    </row>
    <row r="141" spans="1:11" ht="12.75">
      <c r="A141" s="564"/>
      <c r="B141" s="559"/>
      <c r="C141" s="559"/>
      <c r="D141" s="559"/>
      <c r="E141" s="559"/>
      <c r="F141" s="559"/>
      <c r="G141" s="559"/>
      <c r="H141" s="578"/>
      <c r="I141" s="578"/>
      <c r="J141" s="578"/>
      <c r="K141" s="560"/>
    </row>
    <row r="142" spans="1:11" ht="12.75">
      <c r="A142" s="564"/>
      <c r="B142" s="559"/>
      <c r="C142" s="559"/>
      <c r="D142" s="559"/>
      <c r="E142" s="559"/>
      <c r="F142" s="559"/>
      <c r="G142" s="559"/>
      <c r="H142" s="578"/>
      <c r="I142" s="578"/>
      <c r="J142" s="578"/>
      <c r="K142" s="560"/>
    </row>
    <row r="143" spans="1:11" ht="12.75">
      <c r="A143" s="564"/>
      <c r="B143" s="559"/>
      <c r="C143" s="559"/>
      <c r="D143" s="559"/>
      <c r="E143" s="559"/>
      <c r="F143" s="559"/>
      <c r="G143" s="559"/>
      <c r="H143" s="578"/>
      <c r="I143" s="578"/>
      <c r="J143" s="578"/>
      <c r="K143" s="560"/>
    </row>
    <row r="144" spans="1:11" ht="12.75">
      <c r="A144" s="564"/>
      <c r="B144" s="559"/>
      <c r="C144" s="559"/>
      <c r="D144" s="559"/>
      <c r="E144" s="559"/>
      <c r="F144" s="559"/>
      <c r="G144" s="559"/>
      <c r="H144" s="578"/>
      <c r="I144" s="578"/>
      <c r="J144" s="578"/>
      <c r="K144" s="560"/>
    </row>
    <row r="145" spans="1:11" ht="12.75">
      <c r="A145" s="564"/>
      <c r="B145" s="559"/>
      <c r="C145" s="559"/>
      <c r="D145" s="559"/>
      <c r="E145" s="559"/>
      <c r="F145" s="559"/>
      <c r="G145" s="559"/>
      <c r="H145" s="578"/>
      <c r="I145" s="578"/>
      <c r="J145" s="578"/>
      <c r="K145" s="560"/>
    </row>
    <row r="146" spans="1:11" ht="12.75">
      <c r="A146" s="564"/>
      <c r="B146" s="559"/>
      <c r="C146" s="559"/>
      <c r="D146" s="559"/>
      <c r="E146" s="559"/>
      <c r="F146" s="559"/>
      <c r="G146" s="559"/>
      <c r="H146" s="578"/>
      <c r="I146" s="578"/>
      <c r="J146" s="578"/>
      <c r="K146" s="560"/>
    </row>
    <row r="147" spans="1:11" ht="12.75">
      <c r="A147" s="566" t="s">
        <v>463</v>
      </c>
      <c r="B147" s="567"/>
      <c r="C147" s="567"/>
      <c r="D147" s="567"/>
      <c r="E147" s="567"/>
      <c r="F147" s="567"/>
      <c r="G147" s="567"/>
      <c r="H147" s="569"/>
      <c r="I147" s="569" t="s">
        <v>464</v>
      </c>
      <c r="J147" s="570"/>
      <c r="K147" s="560"/>
    </row>
    <row r="148" spans="1:11" ht="12.75">
      <c r="A148" s="571"/>
      <c r="B148" s="567"/>
      <c r="C148" s="567"/>
      <c r="D148" s="567"/>
      <c r="E148" s="567"/>
      <c r="F148" s="567"/>
      <c r="G148" s="567"/>
      <c r="H148" s="572" t="s">
        <v>465</v>
      </c>
      <c r="I148" s="572" t="s">
        <v>296</v>
      </c>
      <c r="J148" s="572" t="s">
        <v>466</v>
      </c>
      <c r="K148" s="560"/>
    </row>
    <row r="149" spans="1:11" ht="12.75">
      <c r="A149" s="573"/>
      <c r="B149" s="574"/>
      <c r="C149" s="574"/>
      <c r="D149" s="574"/>
      <c r="E149" s="574"/>
      <c r="F149" s="574"/>
      <c r="G149" s="574"/>
      <c r="H149" s="575"/>
      <c r="I149" s="575"/>
      <c r="J149" s="575"/>
      <c r="K149" s="560"/>
    </row>
    <row r="150" spans="1:11" ht="12.75">
      <c r="A150" s="573"/>
      <c r="B150" s="574"/>
      <c r="C150" s="574"/>
      <c r="D150" s="574"/>
      <c r="E150" s="574"/>
      <c r="F150" s="574"/>
      <c r="G150" s="574"/>
      <c r="H150" s="575"/>
      <c r="I150" s="575"/>
      <c r="J150" s="575"/>
      <c r="K150" s="560"/>
    </row>
    <row r="151" spans="1:11" ht="12.75">
      <c r="A151" s="576"/>
      <c r="B151" s="577"/>
      <c r="C151" s="577"/>
      <c r="D151" s="577"/>
      <c r="E151" s="577"/>
      <c r="F151" s="577"/>
      <c r="G151" s="577"/>
      <c r="H151" s="575"/>
      <c r="I151" s="575"/>
      <c r="J151" s="575"/>
      <c r="K151" s="560"/>
    </row>
    <row r="152" spans="1:11" ht="12.75">
      <c r="A152" s="564"/>
      <c r="B152" s="559"/>
      <c r="C152" s="559"/>
      <c r="D152" s="559"/>
      <c r="E152" s="559"/>
      <c r="F152" s="559"/>
      <c r="G152" s="559"/>
      <c r="H152" s="578"/>
      <c r="I152" s="578"/>
      <c r="J152" s="578"/>
      <c r="K152" s="560"/>
    </row>
    <row r="153" spans="1:11" ht="15">
      <c r="A153" s="561" t="s">
        <v>511</v>
      </c>
      <c r="B153" s="562"/>
      <c r="C153" s="562"/>
      <c r="D153" s="562"/>
      <c r="E153" s="562"/>
      <c r="F153" s="562"/>
      <c r="G153" s="562"/>
      <c r="H153" s="579"/>
      <c r="I153" s="579"/>
      <c r="J153" s="579"/>
      <c r="K153" s="563"/>
    </row>
    <row r="154" spans="1:11" ht="12.75">
      <c r="A154" s="564"/>
      <c r="B154" s="559"/>
      <c r="C154" s="559"/>
      <c r="D154" s="559"/>
      <c r="E154" s="559"/>
      <c r="F154" s="559"/>
      <c r="G154" s="559"/>
      <c r="H154" s="578"/>
      <c r="I154" s="578"/>
      <c r="J154" s="578"/>
      <c r="K154" s="560"/>
    </row>
    <row r="155" spans="1:11" ht="12.75">
      <c r="A155" s="564"/>
      <c r="B155" s="559"/>
      <c r="C155" s="559"/>
      <c r="D155" s="559"/>
      <c r="E155" s="559"/>
      <c r="F155" s="559"/>
      <c r="G155" s="559"/>
      <c r="H155" s="578"/>
      <c r="I155" s="578"/>
      <c r="J155" s="578"/>
      <c r="K155" s="560"/>
    </row>
    <row r="156" spans="1:11" ht="12.75">
      <c r="A156" s="564"/>
      <c r="B156" s="559"/>
      <c r="C156" s="559"/>
      <c r="D156" s="559"/>
      <c r="E156" s="559"/>
      <c r="F156" s="559"/>
      <c r="G156" s="559"/>
      <c r="H156" s="578"/>
      <c r="I156" s="578"/>
      <c r="J156" s="578"/>
      <c r="K156" s="560"/>
    </row>
    <row r="157" spans="1:11" ht="12.75">
      <c r="A157" s="564"/>
      <c r="B157" s="559"/>
      <c r="C157" s="559"/>
      <c r="D157" s="559"/>
      <c r="E157" s="559"/>
      <c r="F157" s="559"/>
      <c r="G157" s="559"/>
      <c r="H157" s="578"/>
      <c r="I157" s="578"/>
      <c r="J157" s="578"/>
      <c r="K157" s="560"/>
    </row>
    <row r="158" spans="1:11" ht="12.75">
      <c r="A158" s="564"/>
      <c r="B158" s="559"/>
      <c r="C158" s="559"/>
      <c r="D158" s="559"/>
      <c r="E158" s="559"/>
      <c r="F158" s="559"/>
      <c r="G158" s="559"/>
      <c r="H158" s="578"/>
      <c r="I158" s="578"/>
      <c r="J158" s="578"/>
      <c r="K158" s="560"/>
    </row>
    <row r="159" spans="1:11" ht="12.75">
      <c r="A159" s="564"/>
      <c r="B159" s="559"/>
      <c r="C159" s="559"/>
      <c r="D159" s="559"/>
      <c r="E159" s="559"/>
      <c r="F159" s="559"/>
      <c r="G159" s="559"/>
      <c r="H159" s="578"/>
      <c r="I159" s="578"/>
      <c r="J159" s="578"/>
      <c r="K159" s="560"/>
    </row>
    <row r="160" spans="1:11" ht="12.75">
      <c r="A160" s="564"/>
      <c r="B160" s="559"/>
      <c r="C160" s="559"/>
      <c r="D160" s="559"/>
      <c r="E160" s="559"/>
      <c r="F160" s="559"/>
      <c r="G160" s="559"/>
      <c r="H160" s="578"/>
      <c r="I160" s="578"/>
      <c r="J160" s="578"/>
      <c r="K160" s="560"/>
    </row>
    <row r="161" spans="1:11" ht="12.75">
      <c r="A161" s="564"/>
      <c r="B161" s="559"/>
      <c r="C161" s="559"/>
      <c r="D161" s="559"/>
      <c r="E161" s="559"/>
      <c r="F161" s="559"/>
      <c r="G161" s="559"/>
      <c r="H161" s="578"/>
      <c r="I161" s="578"/>
      <c r="J161" s="578"/>
      <c r="K161" s="560"/>
    </row>
    <row r="162" spans="1:11" ht="12.75">
      <c r="A162" s="564"/>
      <c r="B162" s="559"/>
      <c r="C162" s="559"/>
      <c r="D162" s="559"/>
      <c r="E162" s="559"/>
      <c r="F162" s="559"/>
      <c r="G162" s="559"/>
      <c r="H162" s="578"/>
      <c r="I162" s="578"/>
      <c r="J162" s="578"/>
      <c r="K162" s="560"/>
    </row>
    <row r="163" spans="1:11" ht="12.75">
      <c r="A163" s="564"/>
      <c r="B163" s="559"/>
      <c r="C163" s="559"/>
      <c r="D163" s="559"/>
      <c r="E163" s="559"/>
      <c r="F163" s="559"/>
      <c r="G163" s="559"/>
      <c r="H163" s="578"/>
      <c r="I163" s="578"/>
      <c r="J163" s="578"/>
      <c r="K163" s="560"/>
    </row>
    <row r="164" spans="1:11" ht="12.75">
      <c r="A164" s="566" t="s">
        <v>463</v>
      </c>
      <c r="B164" s="567"/>
      <c r="C164" s="567"/>
      <c r="D164" s="567"/>
      <c r="E164" s="567"/>
      <c r="F164" s="567"/>
      <c r="G164" s="567"/>
      <c r="H164" s="569"/>
      <c r="I164" s="569" t="s">
        <v>464</v>
      </c>
      <c r="J164" s="570"/>
      <c r="K164" s="560"/>
    </row>
    <row r="165" spans="1:11" ht="12.75">
      <c r="A165" s="571"/>
      <c r="B165" s="567"/>
      <c r="C165" s="567"/>
      <c r="D165" s="567"/>
      <c r="E165" s="567"/>
      <c r="F165" s="567"/>
      <c r="G165" s="567"/>
      <c r="H165" s="572" t="s">
        <v>465</v>
      </c>
      <c r="I165" s="572" t="s">
        <v>296</v>
      </c>
      <c r="J165" s="572" t="s">
        <v>466</v>
      </c>
      <c r="K165" s="560"/>
    </row>
    <row r="166" spans="1:11" ht="12.75">
      <c r="A166" s="573"/>
      <c r="B166" s="574"/>
      <c r="C166" s="574"/>
      <c r="D166" s="574"/>
      <c r="E166" s="574"/>
      <c r="F166" s="574"/>
      <c r="G166" s="574"/>
      <c r="H166" s="575"/>
      <c r="I166" s="575"/>
      <c r="J166" s="575"/>
      <c r="K166" s="560"/>
    </row>
    <row r="167" spans="1:11" ht="12.75">
      <c r="A167" s="573"/>
      <c r="B167" s="574"/>
      <c r="C167" s="574"/>
      <c r="D167" s="574"/>
      <c r="E167" s="574"/>
      <c r="F167" s="574"/>
      <c r="G167" s="574"/>
      <c r="H167" s="575"/>
      <c r="I167" s="575"/>
      <c r="J167" s="575"/>
      <c r="K167" s="560"/>
    </row>
    <row r="168" spans="1:11" ht="12.75">
      <c r="A168" s="576"/>
      <c r="B168" s="577"/>
      <c r="C168" s="577"/>
      <c r="D168" s="577"/>
      <c r="E168" s="577"/>
      <c r="F168" s="577"/>
      <c r="G168" s="577"/>
      <c r="H168" s="575"/>
      <c r="I168" s="575"/>
      <c r="J168" s="575"/>
      <c r="K168" s="560"/>
    </row>
    <row r="169" spans="1:11" ht="12.75">
      <c r="A169" s="564"/>
      <c r="B169" s="559"/>
      <c r="C169" s="559"/>
      <c r="D169" s="559"/>
      <c r="E169" s="559"/>
      <c r="F169" s="559"/>
      <c r="G169" s="559"/>
      <c r="H169" s="578"/>
      <c r="I169" s="578"/>
      <c r="J169" s="578"/>
      <c r="K169" s="560"/>
    </row>
    <row r="170" spans="1:11" ht="12.75">
      <c r="A170" s="580"/>
      <c r="B170" s="565"/>
      <c r="C170" s="565"/>
      <c r="D170" s="565"/>
      <c r="E170" s="565"/>
      <c r="F170" s="565"/>
      <c r="G170" s="565"/>
      <c r="H170" s="581"/>
      <c r="I170" s="581"/>
      <c r="J170" s="581"/>
      <c r="K170" s="582"/>
    </row>
    <row r="171" spans="1:11" ht="12.75">
      <c r="A171" s="559"/>
      <c r="B171" s="559"/>
      <c r="C171" s="559"/>
      <c r="D171" s="559"/>
      <c r="E171" s="559"/>
      <c r="F171" s="559"/>
      <c r="G171" s="559"/>
      <c r="H171" s="578"/>
      <c r="I171" s="578"/>
      <c r="J171" s="578"/>
      <c r="K171" s="568"/>
    </row>
    <row r="172" spans="1:11" ht="12.75">
      <c r="A172" s="559"/>
      <c r="B172" s="559"/>
      <c r="C172" s="559"/>
      <c r="D172" s="559"/>
      <c r="E172" s="559"/>
      <c r="F172" s="559"/>
      <c r="G172" s="559"/>
      <c r="H172" s="578"/>
      <c r="I172" s="578"/>
      <c r="J172" s="578"/>
      <c r="K172" s="568"/>
    </row>
    <row r="173" spans="1:11" ht="12.75">
      <c r="A173" s="559"/>
      <c r="B173" s="559"/>
      <c r="C173" s="559"/>
      <c r="D173" s="559"/>
      <c r="E173" s="559"/>
      <c r="F173" s="559"/>
      <c r="G173" s="559"/>
      <c r="H173" s="578"/>
      <c r="I173" s="578"/>
      <c r="J173" s="578"/>
      <c r="K173" s="568"/>
    </row>
    <row r="174" spans="1:11" ht="12.75">
      <c r="A174" s="559"/>
      <c r="B174" s="559"/>
      <c r="C174" s="559"/>
      <c r="D174" s="559"/>
      <c r="E174" s="559"/>
      <c r="F174" s="559"/>
      <c r="G174" s="559"/>
      <c r="H174" s="578"/>
      <c r="I174" s="578"/>
      <c r="J174" s="578"/>
      <c r="K174" s="568"/>
    </row>
    <row r="175" spans="1:11" ht="12.75">
      <c r="A175" s="559"/>
      <c r="B175" s="559"/>
      <c r="C175" s="559"/>
      <c r="D175" s="559"/>
      <c r="E175" s="559"/>
      <c r="F175" s="559"/>
      <c r="G175" s="559"/>
      <c r="H175" s="578"/>
      <c r="I175" s="578"/>
      <c r="J175" s="578"/>
      <c r="K175" s="568"/>
    </row>
    <row r="176" spans="1:11" ht="12.75">
      <c r="A176" s="583"/>
      <c r="B176" s="583"/>
      <c r="C176" s="583"/>
      <c r="D176" s="583"/>
      <c r="E176" s="583"/>
      <c r="F176" s="583"/>
      <c r="G176" s="583"/>
      <c r="H176" s="584"/>
      <c r="I176" s="584"/>
      <c r="J176" s="584"/>
      <c r="K176" s="585"/>
    </row>
    <row r="177" spans="1:11" ht="15">
      <c r="A177" s="586" t="s">
        <v>468</v>
      </c>
      <c r="B177" s="587"/>
      <c r="C177" s="587"/>
      <c r="D177" s="587"/>
      <c r="E177" s="587"/>
      <c r="F177" s="587"/>
      <c r="G177" s="587"/>
      <c r="H177" s="588"/>
      <c r="I177" s="588"/>
      <c r="J177" s="588"/>
      <c r="K177" s="589"/>
    </row>
    <row r="178" spans="1:11" ht="12.75">
      <c r="A178" s="564"/>
      <c r="B178" s="559"/>
      <c r="C178" s="559"/>
      <c r="D178" s="559"/>
      <c r="E178" s="559"/>
      <c r="F178" s="559"/>
      <c r="G178" s="559"/>
      <c r="H178" s="578"/>
      <c r="I178" s="578"/>
      <c r="J178" s="578"/>
      <c r="K178" s="560"/>
    </row>
    <row r="179" spans="1:11" ht="12.75">
      <c r="A179" s="564"/>
      <c r="B179" s="559"/>
      <c r="C179" s="559"/>
      <c r="D179" s="559"/>
      <c r="E179" s="559"/>
      <c r="F179" s="559"/>
      <c r="G179" s="559"/>
      <c r="H179" s="578"/>
      <c r="I179" s="578"/>
      <c r="J179" s="578"/>
      <c r="K179" s="560"/>
    </row>
    <row r="180" spans="1:11" ht="12.75">
      <c r="A180" s="564"/>
      <c r="B180" s="559"/>
      <c r="C180" s="559"/>
      <c r="D180" s="559"/>
      <c r="E180" s="559"/>
      <c r="F180" s="559"/>
      <c r="G180" s="559"/>
      <c r="H180" s="578"/>
      <c r="I180" s="578"/>
      <c r="J180" s="578"/>
      <c r="K180" s="560"/>
    </row>
    <row r="181" spans="1:11" ht="12.75">
      <c r="A181" s="564"/>
      <c r="B181" s="559"/>
      <c r="C181" s="559"/>
      <c r="D181" s="559"/>
      <c r="E181" s="559"/>
      <c r="F181" s="559"/>
      <c r="G181" s="559"/>
      <c r="H181" s="578"/>
      <c r="I181" s="578"/>
      <c r="J181" s="578"/>
      <c r="K181" s="560"/>
    </row>
    <row r="182" spans="1:11" ht="12.75">
      <c r="A182" s="564"/>
      <c r="B182" s="559"/>
      <c r="C182" s="559"/>
      <c r="D182" s="559"/>
      <c r="E182" s="559"/>
      <c r="F182" s="559"/>
      <c r="G182" s="559"/>
      <c r="H182" s="578"/>
      <c r="I182" s="578"/>
      <c r="J182" s="578"/>
      <c r="K182" s="560"/>
    </row>
    <row r="183" spans="1:11" ht="12.75">
      <c r="A183" s="564"/>
      <c r="B183" s="559"/>
      <c r="C183" s="559"/>
      <c r="D183" s="559"/>
      <c r="E183" s="559"/>
      <c r="F183" s="559"/>
      <c r="G183" s="559"/>
      <c r="H183" s="578"/>
      <c r="I183" s="578"/>
      <c r="J183" s="578"/>
      <c r="K183" s="560"/>
    </row>
    <row r="184" spans="1:11" ht="12.75">
      <c r="A184" s="564"/>
      <c r="B184" s="559"/>
      <c r="C184" s="559"/>
      <c r="D184" s="559"/>
      <c r="E184" s="559"/>
      <c r="F184" s="559"/>
      <c r="G184" s="559"/>
      <c r="H184" s="578"/>
      <c r="I184" s="578"/>
      <c r="J184" s="578"/>
      <c r="K184" s="560"/>
    </row>
    <row r="185" spans="1:11" ht="12.75">
      <c r="A185" s="564"/>
      <c r="B185" s="559"/>
      <c r="C185" s="559"/>
      <c r="D185" s="559"/>
      <c r="E185" s="559"/>
      <c r="F185" s="559"/>
      <c r="G185" s="559"/>
      <c r="H185" s="578"/>
      <c r="I185" s="578"/>
      <c r="J185" s="578"/>
      <c r="K185" s="560"/>
    </row>
    <row r="186" spans="1:11" ht="12.75">
      <c r="A186" s="564"/>
      <c r="B186" s="559"/>
      <c r="C186" s="559"/>
      <c r="D186" s="559"/>
      <c r="E186" s="559"/>
      <c r="F186" s="559"/>
      <c r="G186" s="559"/>
      <c r="H186" s="578"/>
      <c r="I186" s="578"/>
      <c r="J186" s="578"/>
      <c r="K186" s="560"/>
    </row>
    <row r="187" spans="1:11" ht="12.75">
      <c r="A187" s="564"/>
      <c r="B187" s="559"/>
      <c r="C187" s="559"/>
      <c r="D187" s="559"/>
      <c r="E187" s="559"/>
      <c r="F187" s="559"/>
      <c r="G187" s="559"/>
      <c r="H187" s="578"/>
      <c r="I187" s="578"/>
      <c r="J187" s="578"/>
      <c r="K187" s="560"/>
    </row>
    <row r="188" spans="1:11" ht="12.75">
      <c r="A188" s="566" t="s">
        <v>463</v>
      </c>
      <c r="B188" s="567"/>
      <c r="C188" s="567"/>
      <c r="D188" s="567"/>
      <c r="E188" s="567"/>
      <c r="F188" s="567"/>
      <c r="G188" s="567"/>
      <c r="H188" s="569"/>
      <c r="I188" s="569" t="s">
        <v>464</v>
      </c>
      <c r="J188" s="570"/>
      <c r="K188" s="560"/>
    </row>
    <row r="189" spans="1:11" ht="12.75">
      <c r="A189" s="571"/>
      <c r="B189" s="567"/>
      <c r="C189" s="567"/>
      <c r="D189" s="567"/>
      <c r="E189" s="567"/>
      <c r="F189" s="567"/>
      <c r="G189" s="567"/>
      <c r="H189" s="572" t="s">
        <v>465</v>
      </c>
      <c r="I189" s="572" t="s">
        <v>296</v>
      </c>
      <c r="J189" s="572" t="s">
        <v>466</v>
      </c>
      <c r="K189" s="560"/>
    </row>
    <row r="190" spans="1:11" ht="12.75">
      <c r="A190" s="573"/>
      <c r="B190" s="574"/>
      <c r="C190" s="574"/>
      <c r="D190" s="574"/>
      <c r="E190" s="574"/>
      <c r="F190" s="574"/>
      <c r="G190" s="574"/>
      <c r="H190" s="575"/>
      <c r="I190" s="575"/>
      <c r="J190" s="575"/>
      <c r="K190" s="560"/>
    </row>
    <row r="191" spans="1:11" ht="12.75">
      <c r="A191" s="573"/>
      <c r="B191" s="574"/>
      <c r="C191" s="574"/>
      <c r="D191" s="574"/>
      <c r="E191" s="574"/>
      <c r="F191" s="574"/>
      <c r="G191" s="574"/>
      <c r="H191" s="575"/>
      <c r="I191" s="575"/>
      <c r="J191" s="575"/>
      <c r="K191" s="560"/>
    </row>
    <row r="192" spans="1:11" ht="12.75">
      <c r="A192" s="576"/>
      <c r="B192" s="577"/>
      <c r="C192" s="577"/>
      <c r="D192" s="577"/>
      <c r="E192" s="577"/>
      <c r="F192" s="577"/>
      <c r="G192" s="577"/>
      <c r="H192" s="575"/>
      <c r="I192" s="575"/>
      <c r="J192" s="575"/>
      <c r="K192" s="560"/>
    </row>
    <row r="193" spans="1:11" ht="12.75">
      <c r="A193" s="564"/>
      <c r="B193" s="559"/>
      <c r="C193" s="559"/>
      <c r="D193" s="559"/>
      <c r="E193" s="559"/>
      <c r="F193" s="559"/>
      <c r="G193" s="559"/>
      <c r="H193" s="578"/>
      <c r="I193" s="578"/>
      <c r="J193" s="578"/>
      <c r="K193" s="560"/>
    </row>
    <row r="194" spans="1:11" ht="15">
      <c r="A194" s="561" t="s">
        <v>469</v>
      </c>
      <c r="B194" s="562"/>
      <c r="C194" s="562"/>
      <c r="D194" s="562"/>
      <c r="E194" s="562"/>
      <c r="F194" s="562"/>
      <c r="G194" s="562"/>
      <c r="H194" s="579"/>
      <c r="I194" s="579"/>
      <c r="J194" s="579"/>
      <c r="K194" s="563"/>
    </row>
    <row r="195" spans="1:11" ht="12.75">
      <c r="A195" s="564"/>
      <c r="B195" s="559"/>
      <c r="C195" s="559"/>
      <c r="D195" s="559"/>
      <c r="E195" s="559"/>
      <c r="F195" s="559"/>
      <c r="G195" s="559"/>
      <c r="H195" s="578"/>
      <c r="I195" s="578"/>
      <c r="J195" s="578"/>
      <c r="K195" s="560"/>
    </row>
    <row r="196" spans="1:11" ht="12.75">
      <c r="A196" s="564"/>
      <c r="B196" s="559"/>
      <c r="C196" s="559"/>
      <c r="D196" s="559"/>
      <c r="E196" s="559"/>
      <c r="F196" s="559"/>
      <c r="G196" s="559"/>
      <c r="H196" s="578"/>
      <c r="I196" s="578"/>
      <c r="J196" s="578"/>
      <c r="K196" s="560"/>
    </row>
    <row r="197" spans="1:11" ht="12.75">
      <c r="A197" s="564"/>
      <c r="B197" s="559"/>
      <c r="C197" s="559"/>
      <c r="D197" s="559"/>
      <c r="E197" s="559"/>
      <c r="F197" s="559"/>
      <c r="G197" s="559"/>
      <c r="H197" s="578"/>
      <c r="I197" s="578"/>
      <c r="J197" s="578"/>
      <c r="K197" s="560"/>
    </row>
    <row r="198" spans="1:11" ht="12.75">
      <c r="A198" s="564"/>
      <c r="B198" s="559"/>
      <c r="C198" s="559"/>
      <c r="D198" s="559"/>
      <c r="E198" s="559"/>
      <c r="F198" s="559"/>
      <c r="G198" s="559"/>
      <c r="H198" s="578"/>
      <c r="I198" s="578"/>
      <c r="J198" s="578"/>
      <c r="K198" s="560"/>
    </row>
    <row r="199" spans="1:11" ht="12.75">
      <c r="A199" s="564"/>
      <c r="B199" s="559"/>
      <c r="C199" s="559"/>
      <c r="D199" s="559"/>
      <c r="E199" s="559"/>
      <c r="F199" s="559"/>
      <c r="G199" s="559"/>
      <c r="H199" s="578"/>
      <c r="I199" s="578"/>
      <c r="J199" s="578"/>
      <c r="K199" s="560"/>
    </row>
    <row r="200" spans="1:11" ht="12.75">
      <c r="A200" s="564"/>
      <c r="B200" s="559"/>
      <c r="C200" s="559"/>
      <c r="D200" s="559"/>
      <c r="E200" s="559"/>
      <c r="F200" s="559"/>
      <c r="G200" s="559"/>
      <c r="H200" s="578"/>
      <c r="I200" s="578"/>
      <c r="J200" s="578"/>
      <c r="K200" s="560"/>
    </row>
    <row r="201" spans="1:11" ht="12.75">
      <c r="A201" s="564"/>
      <c r="B201" s="559"/>
      <c r="C201" s="559"/>
      <c r="D201" s="559"/>
      <c r="E201" s="559"/>
      <c r="F201" s="559"/>
      <c r="G201" s="559"/>
      <c r="H201" s="578"/>
      <c r="I201" s="578"/>
      <c r="J201" s="578"/>
      <c r="K201" s="560"/>
    </row>
    <row r="202" spans="1:11" ht="12.75">
      <c r="A202" s="564"/>
      <c r="B202" s="559"/>
      <c r="C202" s="559"/>
      <c r="D202" s="559"/>
      <c r="E202" s="559"/>
      <c r="F202" s="559"/>
      <c r="G202" s="559"/>
      <c r="H202" s="578"/>
      <c r="I202" s="578"/>
      <c r="J202" s="578"/>
      <c r="K202" s="560"/>
    </row>
    <row r="203" spans="1:11" ht="12.75">
      <c r="A203" s="564"/>
      <c r="B203" s="559"/>
      <c r="C203" s="559"/>
      <c r="D203" s="559"/>
      <c r="E203" s="559"/>
      <c r="F203" s="559"/>
      <c r="G203" s="559"/>
      <c r="H203" s="578"/>
      <c r="I203" s="578"/>
      <c r="J203" s="578"/>
      <c r="K203" s="560"/>
    </row>
    <row r="204" spans="1:11" ht="12.75">
      <c r="A204" s="564"/>
      <c r="B204" s="559"/>
      <c r="C204" s="559"/>
      <c r="D204" s="559"/>
      <c r="E204" s="559"/>
      <c r="F204" s="559"/>
      <c r="G204" s="559"/>
      <c r="H204" s="578"/>
      <c r="I204" s="578"/>
      <c r="J204" s="578"/>
      <c r="K204" s="560"/>
    </row>
    <row r="205" spans="1:11" ht="12.75">
      <c r="A205" s="564"/>
      <c r="B205" s="559"/>
      <c r="C205" s="559"/>
      <c r="D205" s="559"/>
      <c r="E205" s="559"/>
      <c r="F205" s="559"/>
      <c r="G205" s="559"/>
      <c r="H205" s="578"/>
      <c r="I205" s="578"/>
      <c r="J205" s="578"/>
      <c r="K205" s="560"/>
    </row>
    <row r="206" spans="1:11" ht="12.75">
      <c r="A206" s="566" t="s">
        <v>463</v>
      </c>
      <c r="B206" s="567"/>
      <c r="C206" s="567"/>
      <c r="D206" s="567"/>
      <c r="E206" s="567"/>
      <c r="F206" s="567"/>
      <c r="G206" s="567"/>
      <c r="H206" s="569"/>
      <c r="I206" s="569" t="s">
        <v>464</v>
      </c>
      <c r="J206" s="570"/>
      <c r="K206" s="560"/>
    </row>
    <row r="207" spans="1:11" ht="12.75">
      <c r="A207" s="571"/>
      <c r="B207" s="567"/>
      <c r="C207" s="567"/>
      <c r="D207" s="567"/>
      <c r="E207" s="567"/>
      <c r="F207" s="567"/>
      <c r="G207" s="567"/>
      <c r="H207" s="572" t="s">
        <v>465</v>
      </c>
      <c r="I207" s="572" t="s">
        <v>296</v>
      </c>
      <c r="J207" s="572" t="s">
        <v>466</v>
      </c>
      <c r="K207" s="560"/>
    </row>
    <row r="208" spans="1:11" ht="12.75">
      <c r="A208" s="573"/>
      <c r="B208" s="574"/>
      <c r="C208" s="574"/>
      <c r="D208" s="574"/>
      <c r="E208" s="574"/>
      <c r="F208" s="574"/>
      <c r="G208" s="574"/>
      <c r="H208" s="575"/>
      <c r="I208" s="575"/>
      <c r="J208" s="575"/>
      <c r="K208" s="560"/>
    </row>
    <row r="209" spans="1:11" ht="12.75">
      <c r="A209" s="573"/>
      <c r="B209" s="574"/>
      <c r="C209" s="574"/>
      <c r="D209" s="574"/>
      <c r="E209" s="574"/>
      <c r="F209" s="574"/>
      <c r="G209" s="574"/>
      <c r="H209" s="575"/>
      <c r="I209" s="575"/>
      <c r="J209" s="575"/>
      <c r="K209" s="560"/>
    </row>
    <row r="210" spans="1:11" ht="12.75">
      <c r="A210" s="576"/>
      <c r="B210" s="577"/>
      <c r="C210" s="577"/>
      <c r="D210" s="577"/>
      <c r="E210" s="577"/>
      <c r="F210" s="577"/>
      <c r="G210" s="577"/>
      <c r="H210" s="575"/>
      <c r="I210" s="575"/>
      <c r="J210" s="575"/>
      <c r="K210" s="560"/>
    </row>
    <row r="211" spans="1:11" ht="12.75">
      <c r="A211" s="564"/>
      <c r="B211" s="559"/>
      <c r="C211" s="559"/>
      <c r="D211" s="559"/>
      <c r="E211" s="559"/>
      <c r="F211" s="559"/>
      <c r="G211" s="559"/>
      <c r="H211" s="578"/>
      <c r="I211" s="578"/>
      <c r="J211" s="578"/>
      <c r="K211" s="560"/>
    </row>
    <row r="212" spans="1:11" ht="12.75">
      <c r="A212" s="564"/>
      <c r="B212" s="559"/>
      <c r="C212" s="559"/>
      <c r="D212" s="559"/>
      <c r="E212" s="559"/>
      <c r="F212" s="559"/>
      <c r="G212" s="559"/>
      <c r="H212" s="578"/>
      <c r="I212" s="578"/>
      <c r="J212" s="578"/>
      <c r="K212" s="560"/>
    </row>
    <row r="213" spans="1:11" ht="15">
      <c r="A213" s="561" t="s">
        <v>509</v>
      </c>
      <c r="B213" s="562"/>
      <c r="C213" s="562"/>
      <c r="D213" s="562"/>
      <c r="E213" s="562"/>
      <c r="F213" s="562"/>
      <c r="G213" s="562"/>
      <c r="H213" s="579"/>
      <c r="I213" s="579"/>
      <c r="J213" s="579"/>
      <c r="K213" s="563"/>
    </row>
    <row r="214" spans="1:11" ht="12.75">
      <c r="A214" s="564"/>
      <c r="B214" s="559"/>
      <c r="C214" s="559"/>
      <c r="D214" s="559"/>
      <c r="E214" s="559"/>
      <c r="F214" s="559"/>
      <c r="G214" s="559"/>
      <c r="H214" s="578"/>
      <c r="I214" s="578"/>
      <c r="J214" s="578"/>
      <c r="K214" s="560"/>
    </row>
    <row r="215" spans="1:11" ht="12.75">
      <c r="A215" s="590" t="s">
        <v>470</v>
      </c>
      <c r="B215" s="559"/>
      <c r="C215" s="559"/>
      <c r="D215" s="559"/>
      <c r="E215" s="559"/>
      <c r="F215" s="559"/>
      <c r="G215" s="559"/>
      <c r="H215" s="578"/>
      <c r="I215" s="575"/>
      <c r="J215" s="591" t="s">
        <v>459</v>
      </c>
      <c r="K215" s="560"/>
    </row>
    <row r="216" spans="1:11" ht="12.75">
      <c r="A216" s="590" t="s">
        <v>471</v>
      </c>
      <c r="B216" s="559"/>
      <c r="C216" s="559"/>
      <c r="D216" s="559"/>
      <c r="E216" s="559"/>
      <c r="F216" s="559"/>
      <c r="G216" s="559"/>
      <c r="H216" s="578"/>
      <c r="I216" s="575"/>
      <c r="J216" s="591" t="s">
        <v>459</v>
      </c>
      <c r="K216" s="560"/>
    </row>
    <row r="217" spans="1:11" ht="12.75">
      <c r="A217" s="590" t="s">
        <v>472</v>
      </c>
      <c r="B217" s="559"/>
      <c r="C217" s="559"/>
      <c r="D217" s="559"/>
      <c r="E217" s="559"/>
      <c r="F217" s="559"/>
      <c r="G217" s="559"/>
      <c r="H217" s="578"/>
      <c r="I217" s="575"/>
      <c r="J217" s="591" t="s">
        <v>459</v>
      </c>
      <c r="K217" s="560"/>
    </row>
    <row r="218" spans="1:11" ht="12.75">
      <c r="A218" s="592" t="s">
        <v>473</v>
      </c>
      <c r="B218" s="559"/>
      <c r="C218" s="559"/>
      <c r="D218" s="559"/>
      <c r="E218" s="559"/>
      <c r="F218" s="559"/>
      <c r="G218" s="559"/>
      <c r="H218" s="578"/>
      <c r="I218" s="575"/>
      <c r="J218" s="591" t="s">
        <v>508</v>
      </c>
      <c r="K218" s="560"/>
    </row>
    <row r="219" spans="1:11" ht="12.75">
      <c r="A219" s="592" t="s">
        <v>474</v>
      </c>
      <c r="B219" s="559"/>
      <c r="C219" s="559"/>
      <c r="D219" s="559"/>
      <c r="E219" s="559"/>
      <c r="F219" s="559"/>
      <c r="G219" s="559"/>
      <c r="H219" s="578"/>
      <c r="I219" s="593"/>
      <c r="J219" s="594"/>
      <c r="K219" s="560"/>
    </row>
    <row r="220" spans="1:11" ht="12.75">
      <c r="A220" s="595"/>
      <c r="B220" s="559"/>
      <c r="C220" s="559"/>
      <c r="D220" s="559"/>
      <c r="E220" s="559"/>
      <c r="F220" s="559"/>
      <c r="G220" s="559"/>
      <c r="H220" s="578"/>
      <c r="I220" s="596"/>
      <c r="J220" s="596"/>
      <c r="K220" s="560"/>
    </row>
    <row r="221" spans="1:11" ht="12.75">
      <c r="A221" s="564"/>
      <c r="B221" s="559"/>
      <c r="C221" s="559"/>
      <c r="D221" s="559"/>
      <c r="E221" s="559"/>
      <c r="F221" s="559"/>
      <c r="G221" s="559"/>
      <c r="H221" s="578"/>
      <c r="I221" s="578"/>
      <c r="J221" s="578"/>
      <c r="K221" s="560"/>
    </row>
    <row r="222" spans="1:11" ht="15">
      <c r="A222" s="561" t="s">
        <v>475</v>
      </c>
      <c r="B222" s="597"/>
      <c r="C222" s="597"/>
      <c r="D222" s="597"/>
      <c r="E222" s="597"/>
      <c r="F222" s="597"/>
      <c r="G222" s="597"/>
      <c r="H222" s="579"/>
      <c r="I222" s="579"/>
      <c r="J222" s="579"/>
      <c r="K222" s="563"/>
    </row>
    <row r="223" spans="1:11" ht="12.75">
      <c r="A223" s="564"/>
      <c r="B223" s="559"/>
      <c r="C223" s="559"/>
      <c r="D223" s="559"/>
      <c r="E223" s="559"/>
      <c r="F223" s="559"/>
      <c r="G223" s="559"/>
      <c r="H223" s="578"/>
      <c r="I223" s="578"/>
      <c r="J223" s="578"/>
      <c r="K223" s="560"/>
    </row>
    <row r="224" spans="1:11" ht="12.75">
      <c r="A224" s="564"/>
      <c r="B224" s="559"/>
      <c r="C224" s="559"/>
      <c r="D224" s="559"/>
      <c r="E224" s="559"/>
      <c r="F224" s="559"/>
      <c r="G224" s="559"/>
      <c r="H224" s="578"/>
      <c r="I224" s="578"/>
      <c r="J224" s="578"/>
      <c r="K224" s="560"/>
    </row>
    <row r="225" spans="1:11" ht="12.75">
      <c r="A225" s="564"/>
      <c r="B225" s="559"/>
      <c r="C225" s="559"/>
      <c r="D225" s="559"/>
      <c r="E225" s="559"/>
      <c r="F225" s="559"/>
      <c r="G225" s="559"/>
      <c r="H225" s="578"/>
      <c r="I225" s="578"/>
      <c r="J225" s="578"/>
      <c r="K225" s="560"/>
    </row>
    <row r="226" spans="1:11" ht="12.75">
      <c r="A226" s="564"/>
      <c r="B226" s="559"/>
      <c r="C226" s="559"/>
      <c r="D226" s="559"/>
      <c r="E226" s="559"/>
      <c r="F226" s="559"/>
      <c r="G226" s="559"/>
      <c r="H226" s="578"/>
      <c r="I226" s="578"/>
      <c r="J226" s="578"/>
      <c r="K226" s="560"/>
    </row>
    <row r="227" spans="1:11" ht="12.75">
      <c r="A227" s="564"/>
      <c r="B227" s="559"/>
      <c r="C227" s="559"/>
      <c r="D227" s="559"/>
      <c r="E227" s="559"/>
      <c r="F227" s="559"/>
      <c r="G227" s="559"/>
      <c r="H227" s="578"/>
      <c r="I227" s="578"/>
      <c r="J227" s="578"/>
      <c r="K227" s="560"/>
    </row>
    <row r="228" spans="1:11" ht="12.75">
      <c r="A228" s="564"/>
      <c r="B228" s="559"/>
      <c r="C228" s="559"/>
      <c r="D228" s="559"/>
      <c r="E228" s="559"/>
      <c r="F228" s="559"/>
      <c r="G228" s="559"/>
      <c r="H228" s="578"/>
      <c r="I228" s="578"/>
      <c r="J228" s="578"/>
      <c r="K228" s="560"/>
    </row>
    <row r="229" spans="1:11" ht="12.75">
      <c r="A229" s="598"/>
      <c r="B229" s="568"/>
      <c r="C229" s="568"/>
      <c r="D229" s="568"/>
      <c r="E229" s="568"/>
      <c r="F229" s="568"/>
      <c r="G229" s="568"/>
      <c r="H229" s="599"/>
      <c r="I229" s="599"/>
      <c r="J229" s="599"/>
      <c r="K229" s="560"/>
    </row>
    <row r="230" spans="1:11" ht="12.75">
      <c r="A230" s="600"/>
      <c r="B230" s="601"/>
      <c r="C230" s="601"/>
      <c r="D230" s="601"/>
      <c r="E230" s="601"/>
      <c r="F230" s="601"/>
      <c r="G230" s="601"/>
      <c r="H230" s="602"/>
      <c r="I230" s="602"/>
      <c r="J230" s="602"/>
      <c r="K230" s="582"/>
    </row>
    <row r="231" spans="8:10" ht="12.75">
      <c r="H231" s="61"/>
      <c r="I231" s="61"/>
      <c r="J231" s="61"/>
    </row>
    <row r="232" spans="8:10" ht="12.75">
      <c r="H232" s="61"/>
      <c r="I232" s="61"/>
      <c r="J232" s="61"/>
    </row>
    <row r="233" spans="8:10" ht="12.75">
      <c r="H233" s="61"/>
      <c r="I233" s="61"/>
      <c r="J233" s="61"/>
    </row>
    <row r="234" spans="8:10" ht="12.75">
      <c r="H234" s="61"/>
      <c r="I234" s="61"/>
      <c r="J234" s="61"/>
    </row>
    <row r="235" spans="8:10" ht="12.75">
      <c r="H235" s="61"/>
      <c r="I235" s="61"/>
      <c r="J235" s="61"/>
    </row>
    <row r="236" spans="8:10" ht="12.75">
      <c r="H236" s="61"/>
      <c r="I236" s="61"/>
      <c r="J236" s="61"/>
    </row>
    <row r="237" spans="8:10" ht="12.75">
      <c r="H237" s="61"/>
      <c r="I237" s="61"/>
      <c r="J237" s="61"/>
    </row>
    <row r="238" spans="8:10" ht="12.75">
      <c r="H238" s="61"/>
      <c r="I238" s="61"/>
      <c r="J238" s="61"/>
    </row>
  </sheetData>
  <sheetProtection password="DEC3" sheet="1" objects="1" scenarios="1" selectLockedCells="1"/>
  <printOptions/>
  <pageMargins left="0.5905511811023623" right="0.5905511811023623" top="0.5905511811023623" bottom="0.3937007874015748" header="0.31496062992125984" footer="0.31496062992125984"/>
  <pageSetup horizontalDpi="600" verticalDpi="600" orientation="portrait" paperSize="9" r:id="rId2"/>
  <headerFooter alignWithMargins="0">
    <oddHeader xml:space="preserve">&amp;LFutureConstruct® Energia&amp;R&amp;P(&amp;N)  </oddHeader>
  </headerFooter>
  <drawing r:id="rId1"/>
</worksheet>
</file>

<file path=xl/worksheets/sheet4.xml><?xml version="1.0" encoding="utf-8"?>
<worksheet xmlns="http://schemas.openxmlformats.org/spreadsheetml/2006/main" xmlns:r="http://schemas.openxmlformats.org/officeDocument/2006/relationships">
  <dimension ref="A1:FU999"/>
  <sheetViews>
    <sheetView workbookViewId="0" topLeftCell="A1">
      <selection activeCell="L18" sqref="L18"/>
    </sheetView>
  </sheetViews>
  <sheetFormatPr defaultColWidth="9.140625" defaultRowHeight="12.75"/>
  <cols>
    <col min="1" max="1" width="2.00390625" style="6" customWidth="1"/>
    <col min="2" max="2" width="24.28125" style="8" customWidth="1"/>
    <col min="3" max="3" width="9.28125" style="8" customWidth="1"/>
    <col min="4" max="4" width="9.28125" style="9" customWidth="1"/>
    <col min="5" max="5" width="9.28125" style="4" customWidth="1"/>
    <col min="6" max="8" width="9.28125" style="10" customWidth="1"/>
    <col min="9" max="9" width="8.8515625" style="4" customWidth="1"/>
    <col min="10" max="10" width="8.8515625" style="11" customWidth="1"/>
    <col min="11" max="16" width="8.8515625" style="4" customWidth="1"/>
    <col min="17" max="18" width="8.8515625" style="10" customWidth="1"/>
    <col min="19" max="19" width="8.8515625" style="12" customWidth="1"/>
    <col min="20" max="22" width="8.8515625" style="4" customWidth="1"/>
    <col min="23" max="23" width="9.00390625" style="4" bestFit="1" customWidth="1"/>
    <col min="24" max="39" width="8.8515625" style="4" customWidth="1"/>
    <col min="40" max="41" width="2.00390625" style="4" customWidth="1"/>
    <col min="42" max="16384" width="8.8515625" style="12" customWidth="1"/>
  </cols>
  <sheetData>
    <row r="1" spans="1:41" s="208" customFormat="1" ht="11.25" customHeight="1">
      <c r="A1" s="35"/>
      <c r="B1" s="443" t="s">
        <v>533</v>
      </c>
      <c r="C1" s="842" t="str">
        <f>'ET-luvun Laskenta'!C1</f>
        <v>Villa Superi</v>
      </c>
      <c r="D1" s="9"/>
      <c r="E1" s="10"/>
      <c r="F1" s="10"/>
      <c r="G1" s="10"/>
      <c r="H1" s="10"/>
      <c r="I1" s="10"/>
      <c r="J1" s="18"/>
      <c r="K1" s="10"/>
      <c r="L1" s="10"/>
      <c r="M1" s="10"/>
      <c r="N1" s="10"/>
      <c r="O1" s="10"/>
      <c r="P1" s="10"/>
      <c r="Q1" s="10"/>
      <c r="R1" s="10"/>
      <c r="T1" s="10"/>
      <c r="U1" s="10"/>
      <c r="V1" s="10"/>
      <c r="W1" s="10"/>
      <c r="X1" s="10"/>
      <c r="Y1" s="10"/>
      <c r="Z1" s="10"/>
      <c r="AA1" s="10"/>
      <c r="AB1" s="10"/>
      <c r="AC1" s="10"/>
      <c r="AD1" s="10"/>
      <c r="AE1" s="10"/>
      <c r="AF1" s="10"/>
      <c r="AG1" s="10"/>
      <c r="AH1" s="10"/>
      <c r="AI1" s="10"/>
      <c r="AJ1" s="10"/>
      <c r="AK1" s="10"/>
      <c r="AL1" s="10"/>
      <c r="AM1" s="10"/>
      <c r="AN1" s="10"/>
      <c r="AO1" s="10"/>
    </row>
    <row r="2" spans="1:41" s="208" customFormat="1" ht="11.25" customHeight="1">
      <c r="A2" s="35"/>
      <c r="B2" s="34" t="s">
        <v>51</v>
      </c>
      <c r="C2" s="31">
        <f>'ET-luvun Laskenta'!C2</f>
        <v>0</v>
      </c>
      <c r="D2" s="9"/>
      <c r="E2" s="10"/>
      <c r="F2" s="10"/>
      <c r="G2" s="10"/>
      <c r="H2" s="10"/>
      <c r="I2" s="10"/>
      <c r="J2" s="18"/>
      <c r="K2" s="10"/>
      <c r="L2" s="10"/>
      <c r="M2" s="10"/>
      <c r="N2" s="10"/>
      <c r="O2" s="10"/>
      <c r="P2" s="10"/>
      <c r="Q2" s="10"/>
      <c r="R2" s="10"/>
      <c r="T2" s="10"/>
      <c r="U2" s="10"/>
      <c r="V2" s="10"/>
      <c r="W2" s="10"/>
      <c r="X2" s="10"/>
      <c r="Y2" s="10"/>
      <c r="Z2" s="10"/>
      <c r="AA2" s="10"/>
      <c r="AB2" s="10"/>
      <c r="AC2" s="10"/>
      <c r="AD2" s="10"/>
      <c r="AE2" s="10"/>
      <c r="AF2" s="10"/>
      <c r="AG2" s="10"/>
      <c r="AH2" s="10"/>
      <c r="AI2" s="10"/>
      <c r="AJ2" s="10"/>
      <c r="AK2" s="10"/>
      <c r="AL2" s="10"/>
      <c r="AM2" s="10"/>
      <c r="AN2" s="10"/>
      <c r="AO2" s="10"/>
    </row>
    <row r="3" spans="1:41" s="208" customFormat="1" ht="11.25" customHeight="1">
      <c r="A3" s="35"/>
      <c r="B3" s="34" t="s">
        <v>363</v>
      </c>
      <c r="C3" s="31" t="str">
        <f>'ET-luvun Laskenta'!C3</f>
        <v>2-kerroksinen erillinen pientalo</v>
      </c>
      <c r="D3" s="9"/>
      <c r="E3" s="10"/>
      <c r="F3" s="10"/>
      <c r="G3" s="10"/>
      <c r="H3" s="10"/>
      <c r="I3" s="10"/>
      <c r="J3" s="18"/>
      <c r="K3" s="10"/>
      <c r="L3" s="10"/>
      <c r="M3" s="10"/>
      <c r="N3" s="10"/>
      <c r="O3" s="10"/>
      <c r="P3" s="10"/>
      <c r="Q3" s="10"/>
      <c r="R3" s="10"/>
      <c r="T3" s="10"/>
      <c r="U3" s="10"/>
      <c r="V3" s="10"/>
      <c r="W3" s="10"/>
      <c r="X3" s="10"/>
      <c r="Y3" s="10"/>
      <c r="Z3" s="10"/>
      <c r="AA3" s="10"/>
      <c r="AB3" s="10"/>
      <c r="AC3" s="10"/>
      <c r="AD3" s="10"/>
      <c r="AE3" s="10"/>
      <c r="AF3" s="10"/>
      <c r="AG3" s="10"/>
      <c r="AH3" s="10"/>
      <c r="AI3" s="10"/>
      <c r="AJ3" s="10"/>
      <c r="AK3" s="10"/>
      <c r="AL3" s="10"/>
      <c r="AM3" s="10"/>
      <c r="AN3" s="10"/>
      <c r="AO3" s="10"/>
    </row>
    <row r="4" spans="1:41" s="208" customFormat="1" ht="11.25" customHeight="1">
      <c r="A4" s="10"/>
      <c r="B4" s="34" t="s">
        <v>358</v>
      </c>
      <c r="C4" s="31" t="str">
        <f>'ET-luvun Laskenta'!C4</f>
        <v>Lasse Laihiala</v>
      </c>
      <c r="D4" s="9"/>
      <c r="E4" s="10"/>
      <c r="F4" s="10"/>
      <c r="G4" s="10"/>
      <c r="H4" s="10"/>
      <c r="I4" s="10"/>
      <c r="J4" s="18"/>
      <c r="K4" s="10"/>
      <c r="L4" s="10"/>
      <c r="M4" s="10"/>
      <c r="N4" s="10"/>
      <c r="O4" s="10"/>
      <c r="P4" s="10"/>
      <c r="Q4" s="10"/>
      <c r="R4" s="10"/>
      <c r="T4" s="10"/>
      <c r="U4" s="10"/>
      <c r="V4" s="10"/>
      <c r="W4" s="10"/>
      <c r="X4" s="10"/>
      <c r="Y4" s="10"/>
      <c r="Z4" s="10"/>
      <c r="AA4" s="10"/>
      <c r="AB4" s="10"/>
      <c r="AC4" s="10"/>
      <c r="AD4" s="10"/>
      <c r="AE4" s="10"/>
      <c r="AF4" s="10"/>
      <c r="AG4" s="10"/>
      <c r="AH4" s="10"/>
      <c r="AI4" s="10"/>
      <c r="AJ4" s="10"/>
      <c r="AK4" s="10"/>
      <c r="AL4" s="10"/>
      <c r="AM4" s="10"/>
      <c r="AN4" s="10"/>
      <c r="AO4" s="10"/>
    </row>
    <row r="5" spans="1:41" s="208" customFormat="1" ht="11.25" customHeight="1">
      <c r="A5" s="10"/>
      <c r="B5" s="34" t="s">
        <v>359</v>
      </c>
      <c r="C5" s="31" t="str">
        <f>'ET-luvun Laskenta'!C5</f>
        <v>15.12.2008</v>
      </c>
      <c r="D5" s="9"/>
      <c r="E5" s="10"/>
      <c r="F5" s="10"/>
      <c r="G5" s="10"/>
      <c r="H5" s="10"/>
      <c r="I5" s="10"/>
      <c r="J5" s="18"/>
      <c r="K5" s="10"/>
      <c r="L5" s="10"/>
      <c r="M5" s="10"/>
      <c r="N5" s="10"/>
      <c r="O5" s="10"/>
      <c r="P5" s="10"/>
      <c r="Q5" s="10"/>
      <c r="R5" s="10"/>
      <c r="T5" s="10"/>
      <c r="U5" s="10"/>
      <c r="V5" s="10"/>
      <c r="W5" s="10"/>
      <c r="X5" s="10"/>
      <c r="Y5" s="10"/>
      <c r="Z5" s="10"/>
      <c r="AA5" s="10"/>
      <c r="AB5" s="10"/>
      <c r="AC5" s="10"/>
      <c r="AD5" s="10"/>
      <c r="AE5" s="10"/>
      <c r="AF5" s="10"/>
      <c r="AG5" s="10"/>
      <c r="AH5" s="10"/>
      <c r="AI5" s="10"/>
      <c r="AJ5" s="10"/>
      <c r="AK5" s="10"/>
      <c r="AL5" s="10"/>
      <c r="AM5" s="10"/>
      <c r="AN5" s="10"/>
      <c r="AO5" s="10"/>
    </row>
    <row r="6" spans="1:41" s="208" customFormat="1" ht="11.25" customHeight="1">
      <c r="A6" s="10"/>
      <c r="B6" s="31" t="s">
        <v>360</v>
      </c>
      <c r="C6" s="31" t="str">
        <f>'ET-luvun Laskenta'!C6</f>
        <v>Päivi Päämies</v>
      </c>
      <c r="D6" s="9"/>
      <c r="E6" s="10"/>
      <c r="F6" s="10"/>
      <c r="G6" s="10"/>
      <c r="H6" s="10"/>
      <c r="I6" s="10"/>
      <c r="J6" s="18"/>
      <c r="K6" s="10"/>
      <c r="L6" s="10"/>
      <c r="M6" s="10"/>
      <c r="N6" s="10"/>
      <c r="O6" s="10"/>
      <c r="P6" s="10"/>
      <c r="Q6" s="10"/>
      <c r="R6" s="10"/>
      <c r="T6" s="10"/>
      <c r="U6" s="10"/>
      <c r="V6" s="10"/>
      <c r="W6" s="10"/>
      <c r="X6" s="10"/>
      <c r="Y6" s="10"/>
      <c r="Z6" s="10"/>
      <c r="AA6" s="10"/>
      <c r="AB6" s="10"/>
      <c r="AC6" s="10"/>
      <c r="AD6" s="10"/>
      <c r="AE6" s="10"/>
      <c r="AF6" s="10"/>
      <c r="AG6" s="10"/>
      <c r="AH6" s="10"/>
      <c r="AI6" s="10"/>
      <c r="AJ6" s="10"/>
      <c r="AK6" s="10"/>
      <c r="AL6" s="10"/>
      <c r="AM6" s="10"/>
      <c r="AN6" s="10"/>
      <c r="AO6" s="10"/>
    </row>
    <row r="7" spans="1:41" s="208" customFormat="1" ht="11.25" customHeight="1">
      <c r="A7" s="10"/>
      <c r="B7" s="31" t="s">
        <v>359</v>
      </c>
      <c r="C7" s="31" t="str">
        <f>'ET-luvun Laskenta'!C7</f>
        <v>15.12.2008</v>
      </c>
      <c r="D7" s="9"/>
      <c r="E7" s="10"/>
      <c r="F7" s="10"/>
      <c r="G7" s="10"/>
      <c r="H7" s="10"/>
      <c r="I7" s="10"/>
      <c r="J7" s="18"/>
      <c r="K7" s="10"/>
      <c r="L7" s="10"/>
      <c r="M7" s="10"/>
      <c r="N7" s="10"/>
      <c r="O7" s="10"/>
      <c r="P7" s="10"/>
      <c r="Q7" s="10"/>
      <c r="R7" s="10"/>
      <c r="T7" s="10"/>
      <c r="U7" s="10"/>
      <c r="V7" s="10"/>
      <c r="W7" s="10"/>
      <c r="X7" s="10"/>
      <c r="Y7" s="10"/>
      <c r="Z7" s="10"/>
      <c r="AA7" s="10"/>
      <c r="AB7" s="10"/>
      <c r="AC7" s="10"/>
      <c r="AD7" s="10"/>
      <c r="AE7" s="10"/>
      <c r="AF7" s="10"/>
      <c r="AG7" s="10"/>
      <c r="AH7" s="10"/>
      <c r="AI7" s="10"/>
      <c r="AJ7" s="10"/>
      <c r="AK7" s="10"/>
      <c r="AL7" s="10"/>
      <c r="AM7" s="10"/>
      <c r="AN7" s="10"/>
      <c r="AO7" s="10"/>
    </row>
    <row r="8" spans="1:41" s="208" customFormat="1" ht="11.25" customHeight="1">
      <c r="A8" s="10"/>
      <c r="B8" s="31" t="s">
        <v>52</v>
      </c>
      <c r="C8" s="768" t="str">
        <f>IF(H63&lt;=G63,"TÄYTTÄÄ VAATIMUKSET","EI TÄYTÄ VAATIMUKSIA")</f>
        <v>TÄYTTÄÄ VAATIMUKSET</v>
      </c>
      <c r="D8" s="9"/>
      <c r="E8" s="10"/>
      <c r="F8" s="10"/>
      <c r="G8" s="10"/>
      <c r="H8" s="10"/>
      <c r="I8" s="10"/>
      <c r="J8" s="18"/>
      <c r="K8" s="10"/>
      <c r="L8" s="10"/>
      <c r="M8" s="10"/>
      <c r="N8" s="10"/>
      <c r="O8" s="10"/>
      <c r="P8" s="10"/>
      <c r="Q8" s="10"/>
      <c r="R8" s="10"/>
      <c r="T8" s="10"/>
      <c r="U8" s="10"/>
      <c r="V8" s="10"/>
      <c r="W8" s="10"/>
      <c r="X8" s="10"/>
      <c r="Y8" s="10"/>
      <c r="Z8" s="10"/>
      <c r="AA8" s="10"/>
      <c r="AB8" s="10"/>
      <c r="AC8" s="10"/>
      <c r="AD8" s="10"/>
      <c r="AE8" s="10"/>
      <c r="AF8" s="10"/>
      <c r="AG8" s="10"/>
      <c r="AH8" s="10"/>
      <c r="AI8" s="10"/>
      <c r="AJ8" s="10"/>
      <c r="AK8" s="10"/>
      <c r="AL8" s="10"/>
      <c r="AM8" s="10"/>
      <c r="AN8" s="10"/>
      <c r="AO8" s="10"/>
    </row>
    <row r="9" spans="1:9" ht="11.25" customHeight="1">
      <c r="A9" s="4"/>
      <c r="B9" s="14"/>
      <c r="C9" s="16"/>
      <c r="D9" s="17"/>
      <c r="E9" s="11"/>
      <c r="F9" s="18"/>
      <c r="G9" s="18"/>
      <c r="H9" s="18"/>
      <c r="I9" s="11"/>
    </row>
    <row r="10" spans="1:177" ht="12.75">
      <c r="A10" s="20"/>
      <c r="B10" s="21" t="s">
        <v>514</v>
      </c>
      <c r="C10" s="22"/>
      <c r="D10" s="23"/>
      <c r="E10" s="24"/>
      <c r="F10" s="25"/>
      <c r="G10" s="25"/>
      <c r="H10" s="25"/>
      <c r="I10" s="24"/>
      <c r="J10" s="432"/>
      <c r="K10" s="26" t="s">
        <v>587</v>
      </c>
      <c r="L10" s="27"/>
      <c r="M10" s="27"/>
      <c r="N10" s="27"/>
      <c r="O10" s="27"/>
      <c r="P10" s="27"/>
      <c r="Q10" s="28"/>
      <c r="R10" s="28"/>
      <c r="S10" s="29"/>
      <c r="T10" s="30"/>
      <c r="U10" s="30"/>
      <c r="V10" s="30"/>
      <c r="W10" s="30"/>
      <c r="X10" s="30"/>
      <c r="Y10" s="30"/>
      <c r="Z10" s="30"/>
      <c r="AA10" s="30"/>
      <c r="AB10" s="30"/>
      <c r="AC10" s="30"/>
      <c r="AD10" s="30"/>
      <c r="AE10" s="30"/>
      <c r="AF10" s="30"/>
      <c r="AG10" s="30"/>
      <c r="AH10" s="30"/>
      <c r="AI10" s="30"/>
      <c r="AJ10" s="30"/>
      <c r="AK10" s="30"/>
      <c r="AL10" s="30"/>
      <c r="AM10" s="30"/>
      <c r="AN10" s="11"/>
      <c r="AO10" s="11"/>
      <c r="AP10" s="832" t="s">
        <v>18</v>
      </c>
      <c r="AQ10" s="433"/>
      <c r="AR10" s="433"/>
      <c r="AS10" s="433"/>
      <c r="AT10" s="433"/>
      <c r="AU10" s="433"/>
      <c r="AV10" s="433"/>
      <c r="AW10" s="433"/>
      <c r="AX10" s="433"/>
      <c r="AY10" s="433"/>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52"/>
      <c r="FE10" s="52"/>
      <c r="FF10" s="52"/>
      <c r="FG10" s="52"/>
      <c r="FH10" s="52"/>
      <c r="FI10" s="52"/>
      <c r="FJ10" s="52"/>
      <c r="FK10" s="52"/>
      <c r="FL10" s="52"/>
      <c r="FM10" s="52"/>
      <c r="FN10" s="52"/>
      <c r="FO10" s="52"/>
      <c r="FP10" s="52"/>
      <c r="FQ10" s="52"/>
      <c r="FR10" s="52"/>
      <c r="FS10" s="52"/>
      <c r="FT10" s="52"/>
      <c r="FU10" s="52"/>
    </row>
    <row r="11" spans="1:177" ht="11.25" customHeight="1">
      <c r="A11" s="10"/>
      <c r="I11" s="32"/>
      <c r="J11" s="20"/>
      <c r="K11" s="10"/>
      <c r="L11" s="10"/>
      <c r="M11" s="10"/>
      <c r="N11" s="10"/>
      <c r="O11" s="10"/>
      <c r="P11" s="10"/>
      <c r="Q11" s="33"/>
      <c r="R11" s="33"/>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2"/>
      <c r="FL11" s="52"/>
      <c r="FM11" s="52"/>
      <c r="FN11" s="52"/>
      <c r="FO11" s="52"/>
      <c r="FP11" s="52"/>
      <c r="FQ11" s="52"/>
      <c r="FR11" s="52"/>
      <c r="FS11" s="52"/>
      <c r="FT11" s="52"/>
      <c r="FU11" s="52"/>
    </row>
    <row r="12" spans="1:177" ht="11.25" customHeight="1">
      <c r="A12" s="35"/>
      <c r="B12" s="36" t="s">
        <v>255</v>
      </c>
      <c r="C12" s="37" t="s">
        <v>126</v>
      </c>
      <c r="D12" s="38"/>
      <c r="E12" s="39" t="s">
        <v>152</v>
      </c>
      <c r="F12" s="40"/>
      <c r="G12" s="41" t="s">
        <v>512</v>
      </c>
      <c r="H12" s="42"/>
      <c r="I12" s="43" t="s">
        <v>129</v>
      </c>
      <c r="J12" s="44"/>
      <c r="K12" s="33"/>
      <c r="L12" s="33"/>
      <c r="M12" s="45" t="s">
        <v>235</v>
      </c>
      <c r="N12" s="33"/>
      <c r="O12" s="46" t="s">
        <v>413</v>
      </c>
      <c r="P12" s="10"/>
      <c r="Q12" s="33"/>
      <c r="R12" s="33"/>
      <c r="S12" s="10"/>
      <c r="T12" s="47"/>
      <c r="U12" s="47"/>
      <c r="V12" s="48"/>
      <c r="W12" s="49" t="s">
        <v>262</v>
      </c>
      <c r="X12" s="47"/>
      <c r="Y12" s="47"/>
      <c r="Z12" s="47"/>
      <c r="AA12" s="50"/>
      <c r="AB12" s="51" t="s">
        <v>407</v>
      </c>
      <c r="AC12" s="50"/>
      <c r="AD12" s="10"/>
      <c r="AE12" s="10"/>
      <c r="AF12" s="10"/>
      <c r="AG12" s="10"/>
      <c r="AH12" s="10"/>
      <c r="AI12" s="10"/>
      <c r="AJ12" s="10"/>
      <c r="AK12" s="10"/>
      <c r="AL12" s="10"/>
      <c r="AM12" s="10"/>
      <c r="AN12" s="10"/>
      <c r="AO12" s="10"/>
      <c r="AQ12" s="52"/>
      <c r="AR12" s="53" t="s">
        <v>598</v>
      </c>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52"/>
      <c r="FE12" s="52"/>
      <c r="FF12" s="52"/>
      <c r="FG12" s="52"/>
      <c r="FH12" s="52"/>
      <c r="FI12" s="52"/>
      <c r="FJ12" s="52"/>
      <c r="FK12" s="52"/>
      <c r="FL12" s="52"/>
      <c r="FM12" s="52"/>
      <c r="FN12" s="52"/>
      <c r="FO12" s="52"/>
      <c r="FP12" s="52"/>
      <c r="FQ12" s="52"/>
      <c r="FR12" s="52"/>
      <c r="FS12" s="52"/>
      <c r="FT12" s="52"/>
      <c r="FU12" s="52"/>
    </row>
    <row r="13" spans="1:177" ht="11.25" customHeight="1">
      <c r="A13" s="35"/>
      <c r="B13" s="127" t="s">
        <v>254</v>
      </c>
      <c r="C13" s="55" t="s">
        <v>155</v>
      </c>
      <c r="D13" s="56"/>
      <c r="E13" s="57" t="s">
        <v>156</v>
      </c>
      <c r="F13" s="58"/>
      <c r="G13" s="57" t="s">
        <v>127</v>
      </c>
      <c r="H13" s="58"/>
      <c r="I13" s="59" t="s">
        <v>130</v>
      </c>
      <c r="J13" s="60"/>
      <c r="K13" s="33"/>
      <c r="L13" s="33" t="s">
        <v>743</v>
      </c>
      <c r="M13" s="33"/>
      <c r="N13" s="33" t="s">
        <v>209</v>
      </c>
      <c r="O13" s="33"/>
      <c r="P13" s="33" t="s">
        <v>238</v>
      </c>
      <c r="Q13" s="33" t="s">
        <v>258</v>
      </c>
      <c r="R13" s="33" t="s">
        <v>257</v>
      </c>
      <c r="S13" s="33" t="s">
        <v>239</v>
      </c>
      <c r="T13" s="47" t="s">
        <v>337</v>
      </c>
      <c r="U13" s="47" t="s">
        <v>240</v>
      </c>
      <c r="V13" s="47" t="s">
        <v>241</v>
      </c>
      <c r="W13" s="47" t="s">
        <v>242</v>
      </c>
      <c r="X13" s="47" t="s">
        <v>243</v>
      </c>
      <c r="Y13" s="47" t="s">
        <v>244</v>
      </c>
      <c r="Z13" s="47" t="s">
        <v>245</v>
      </c>
      <c r="AA13" s="50" t="s">
        <v>246</v>
      </c>
      <c r="AB13" s="149">
        <v>3.1</v>
      </c>
      <c r="AC13" s="50" t="s">
        <v>247</v>
      </c>
      <c r="AP13" s="61" t="s">
        <v>582</v>
      </c>
      <c r="AQ13" s="61"/>
      <c r="AR13" s="61"/>
      <c r="AS13" s="61" t="s">
        <v>601</v>
      </c>
      <c r="AT13" s="61">
        <v>3.11</v>
      </c>
      <c r="AU13" s="208"/>
      <c r="AV13" s="208"/>
      <c r="AW13" s="208"/>
      <c r="AX13" s="208"/>
      <c r="AY13" s="208"/>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52"/>
      <c r="FE13" s="52"/>
      <c r="FF13" s="52"/>
      <c r="FG13" s="52"/>
      <c r="FH13" s="52"/>
      <c r="FI13" s="52"/>
      <c r="FJ13" s="52"/>
      <c r="FK13" s="52"/>
      <c r="FL13" s="52"/>
      <c r="FM13" s="52"/>
      <c r="FN13" s="52"/>
      <c r="FO13" s="52"/>
      <c r="FP13" s="52"/>
      <c r="FQ13" s="52"/>
      <c r="FR13" s="52"/>
      <c r="FS13" s="52"/>
      <c r="FT13" s="52"/>
      <c r="FU13" s="52"/>
    </row>
    <row r="14" spans="1:177" ht="11.25" customHeight="1">
      <c r="A14" s="35"/>
      <c r="B14" s="434"/>
      <c r="C14" s="63" t="s">
        <v>124</v>
      </c>
      <c r="D14" s="64" t="s">
        <v>125</v>
      </c>
      <c r="E14" s="65" t="s">
        <v>124</v>
      </c>
      <c r="F14" s="66" t="s">
        <v>125</v>
      </c>
      <c r="G14" s="65" t="s">
        <v>124</v>
      </c>
      <c r="H14" s="67" t="s">
        <v>125</v>
      </c>
      <c r="I14" s="68" t="s">
        <v>324</v>
      </c>
      <c r="J14" s="69"/>
      <c r="K14" s="31"/>
      <c r="L14" s="33" t="s">
        <v>191</v>
      </c>
      <c r="M14" s="31" t="s">
        <v>201</v>
      </c>
      <c r="N14" s="70" t="s">
        <v>194</v>
      </c>
      <c r="O14" s="33" t="s">
        <v>199</v>
      </c>
      <c r="P14" s="33" t="s">
        <v>197</v>
      </c>
      <c r="Q14" s="33" t="s">
        <v>199</v>
      </c>
      <c r="R14" s="33" t="s">
        <v>197</v>
      </c>
      <c r="S14" s="33" t="s">
        <v>357</v>
      </c>
      <c r="T14" s="47" t="s">
        <v>170</v>
      </c>
      <c r="U14" s="47" t="s">
        <v>199</v>
      </c>
      <c r="V14" s="47" t="s">
        <v>197</v>
      </c>
      <c r="W14" s="47" t="s">
        <v>267</v>
      </c>
      <c r="X14" s="47" t="s">
        <v>202</v>
      </c>
      <c r="Y14" s="47" t="s">
        <v>270</v>
      </c>
      <c r="Z14" s="47" t="s">
        <v>213</v>
      </c>
      <c r="AA14" s="50" t="s">
        <v>226</v>
      </c>
      <c r="AB14" s="149" t="s">
        <v>332</v>
      </c>
      <c r="AC14" s="71" t="s">
        <v>266</v>
      </c>
      <c r="AP14" s="73" t="s">
        <v>602</v>
      </c>
      <c r="AQ14" s="73"/>
      <c r="AR14" s="73" t="s">
        <v>596</v>
      </c>
      <c r="AS14" s="73" t="s">
        <v>599</v>
      </c>
      <c r="AT14" s="73" t="s">
        <v>599</v>
      </c>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52"/>
      <c r="FE14" s="52"/>
      <c r="FF14" s="52"/>
      <c r="FG14" s="52"/>
      <c r="FH14" s="52"/>
      <c r="FI14" s="52"/>
      <c r="FJ14" s="52"/>
      <c r="FK14" s="52"/>
      <c r="FL14" s="52"/>
      <c r="FM14" s="52"/>
      <c r="FN14" s="52"/>
      <c r="FO14" s="52"/>
      <c r="FP14" s="52"/>
      <c r="FQ14" s="52"/>
      <c r="FR14" s="52"/>
      <c r="FS14" s="52"/>
      <c r="FT14" s="52"/>
      <c r="FU14" s="52"/>
    </row>
    <row r="15" spans="1:177" ht="11.25" customHeight="1">
      <c r="A15" s="10"/>
      <c r="B15" s="435"/>
      <c r="C15" s="75" t="s">
        <v>128</v>
      </c>
      <c r="D15" s="76" t="s">
        <v>128</v>
      </c>
      <c r="E15" s="77" t="s">
        <v>128</v>
      </c>
      <c r="F15" s="78" t="s">
        <v>128</v>
      </c>
      <c r="G15" s="77" t="s">
        <v>128</v>
      </c>
      <c r="H15" s="79" t="s">
        <v>128</v>
      </c>
      <c r="I15" s="77" t="s">
        <v>323</v>
      </c>
      <c r="J15" s="69"/>
      <c r="K15" s="33"/>
      <c r="L15" s="33" t="s">
        <v>192</v>
      </c>
      <c r="M15" s="70"/>
      <c r="N15" s="70"/>
      <c r="O15" s="33" t="s">
        <v>198</v>
      </c>
      <c r="P15" s="33" t="s">
        <v>198</v>
      </c>
      <c r="Q15" s="33" t="s">
        <v>259</v>
      </c>
      <c r="R15" s="33" t="s">
        <v>259</v>
      </c>
      <c r="S15" s="33" t="s">
        <v>200</v>
      </c>
      <c r="U15" s="47" t="s">
        <v>269</v>
      </c>
      <c r="V15" s="47" t="s">
        <v>269</v>
      </c>
      <c r="W15" s="47" t="s">
        <v>268</v>
      </c>
      <c r="X15" s="47"/>
      <c r="Y15" s="47"/>
      <c r="Z15" s="47" t="s">
        <v>214</v>
      </c>
      <c r="AA15" s="50" t="s">
        <v>353</v>
      </c>
      <c r="AB15" s="149" t="s">
        <v>353</v>
      </c>
      <c r="AC15" s="71" t="s">
        <v>353</v>
      </c>
      <c r="AP15" s="73" t="s">
        <v>603</v>
      </c>
      <c r="AQ15" s="73"/>
      <c r="AR15" s="73" t="s">
        <v>597</v>
      </c>
      <c r="AS15" s="80" t="s">
        <v>600</v>
      </c>
      <c r="AT15" s="80" t="s">
        <v>200</v>
      </c>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52"/>
      <c r="FE15" s="52"/>
      <c r="FF15" s="52"/>
      <c r="FG15" s="52"/>
      <c r="FH15" s="52"/>
      <c r="FI15" s="52"/>
      <c r="FJ15" s="52"/>
      <c r="FK15" s="52"/>
      <c r="FL15" s="52"/>
      <c r="FM15" s="52"/>
      <c r="FN15" s="52"/>
      <c r="FO15" s="52"/>
      <c r="FP15" s="52"/>
      <c r="FQ15" s="52"/>
      <c r="FR15" s="52"/>
      <c r="FS15" s="52"/>
      <c r="FT15" s="52"/>
      <c r="FU15" s="52"/>
    </row>
    <row r="16" spans="1:177" ht="11.25" customHeight="1">
      <c r="A16" s="10"/>
      <c r="B16" s="436" t="s">
        <v>121</v>
      </c>
      <c r="C16" s="82"/>
      <c r="D16" s="83"/>
      <c r="E16" s="84"/>
      <c r="F16" s="84"/>
      <c r="G16" s="85"/>
      <c r="H16" s="86"/>
      <c r="I16" s="87"/>
      <c r="J16" s="88"/>
      <c r="K16" s="33"/>
      <c r="L16" s="70" t="s">
        <v>193</v>
      </c>
      <c r="M16" s="70" t="s">
        <v>249</v>
      </c>
      <c r="N16" s="70" t="s">
        <v>195</v>
      </c>
      <c r="O16" s="33" t="s">
        <v>196</v>
      </c>
      <c r="P16" s="33" t="s">
        <v>196</v>
      </c>
      <c r="Q16" s="33" t="s">
        <v>196</v>
      </c>
      <c r="R16" s="33" t="s">
        <v>196</v>
      </c>
      <c r="S16" s="33" t="s">
        <v>196</v>
      </c>
      <c r="T16" s="47" t="s">
        <v>196</v>
      </c>
      <c r="U16" s="47" t="s">
        <v>196</v>
      </c>
      <c r="V16" s="47" t="s">
        <v>196</v>
      </c>
      <c r="W16" s="47" t="s">
        <v>196</v>
      </c>
      <c r="X16" s="47" t="s">
        <v>196</v>
      </c>
      <c r="Y16" s="47" t="s">
        <v>196</v>
      </c>
      <c r="Z16" s="47" t="s">
        <v>196</v>
      </c>
      <c r="AA16" s="50" t="s">
        <v>196</v>
      </c>
      <c r="AB16" s="149" t="s">
        <v>196</v>
      </c>
      <c r="AC16" s="89" t="s">
        <v>196</v>
      </c>
      <c r="AD16" s="13"/>
      <c r="AE16" s="13"/>
      <c r="AF16" s="13"/>
      <c r="AG16" s="13"/>
      <c r="AH16" s="13"/>
      <c r="AI16" s="13"/>
      <c r="AJ16" s="13"/>
      <c r="AK16" s="13"/>
      <c r="AL16" s="13"/>
      <c r="AM16" s="13"/>
      <c r="AN16" s="13"/>
      <c r="AO16" s="13"/>
      <c r="AP16" s="73" t="s">
        <v>589</v>
      </c>
      <c r="AQ16" s="73"/>
      <c r="AR16" s="73" t="s">
        <v>589</v>
      </c>
      <c r="AS16" s="73" t="s">
        <v>196</v>
      </c>
      <c r="AT16" s="73" t="s">
        <v>196</v>
      </c>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52"/>
      <c r="FC16" s="52"/>
      <c r="FD16" s="52"/>
      <c r="FE16" s="52"/>
      <c r="FF16" s="52"/>
      <c r="FG16" s="52"/>
      <c r="FH16" s="52"/>
      <c r="FI16" s="52"/>
      <c r="FJ16" s="52"/>
      <c r="FK16" s="52"/>
      <c r="FL16" s="52"/>
      <c r="FM16" s="52"/>
      <c r="FN16" s="52"/>
      <c r="FO16" s="52"/>
      <c r="FP16" s="52"/>
      <c r="FQ16" s="52"/>
      <c r="FR16" s="52"/>
      <c r="FS16" s="52"/>
      <c r="FT16" s="52"/>
      <c r="FU16" s="52"/>
    </row>
    <row r="17" spans="1:177" ht="11.25" customHeight="1">
      <c r="A17" s="10"/>
      <c r="B17" s="267" t="s">
        <v>229</v>
      </c>
      <c r="C17" s="682">
        <f>'ET-luvun Laskenta'!G17</f>
        <v>145</v>
      </c>
      <c r="D17" s="682">
        <f>'ET-luvun Laskenta'!H17</f>
        <v>140</v>
      </c>
      <c r="E17" s="683">
        <f>'ET-luvun Laskenta'!I17</f>
        <v>0.24</v>
      </c>
      <c r="F17" s="683">
        <f>'ET-luvun Laskenta'!J17</f>
        <v>0.21</v>
      </c>
      <c r="G17" s="91">
        <f aca="true" t="shared" si="0" ref="G17:H19">C17*E17</f>
        <v>34.8</v>
      </c>
      <c r="H17" s="92">
        <f t="shared" si="0"/>
        <v>29.4</v>
      </c>
      <c r="I17" s="87">
        <f aca="true" t="shared" si="1" ref="I17:I27">IF(G17=0,"",(H17-G17)/G17*100)</f>
        <v>-15.517241379310342</v>
      </c>
      <c r="J17" s="88"/>
      <c r="K17" s="10"/>
      <c r="L17" s="10"/>
      <c r="M17" s="10"/>
      <c r="N17" s="13"/>
      <c r="O17" s="10"/>
      <c r="P17" s="10"/>
      <c r="S17" s="10"/>
      <c r="T17" s="93"/>
      <c r="U17" s="93"/>
      <c r="V17" s="93"/>
      <c r="W17" s="93"/>
      <c r="X17" s="93"/>
      <c r="Y17" s="93"/>
      <c r="Z17" s="93"/>
      <c r="AA17" s="94"/>
      <c r="AB17" s="792"/>
      <c r="AC17" s="94"/>
      <c r="AD17" s="13"/>
      <c r="AE17" s="13"/>
      <c r="AF17" s="13"/>
      <c r="AG17" s="13"/>
      <c r="AH17" s="13"/>
      <c r="AI17" s="13"/>
      <c r="AJ17" s="13"/>
      <c r="AK17" s="13"/>
      <c r="AL17" s="13"/>
      <c r="AM17" s="13"/>
      <c r="AN17" s="13"/>
      <c r="AO17" s="13"/>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2"/>
      <c r="FB17" s="52"/>
      <c r="FC17" s="52"/>
      <c r="FD17" s="52"/>
      <c r="FE17" s="52"/>
      <c r="FF17" s="52"/>
      <c r="FG17" s="52"/>
      <c r="FH17" s="52"/>
      <c r="FI17" s="52"/>
      <c r="FJ17" s="52"/>
      <c r="FK17" s="52"/>
      <c r="FL17" s="52"/>
      <c r="FM17" s="52"/>
      <c r="FN17" s="52"/>
      <c r="FO17" s="52"/>
      <c r="FP17" s="52"/>
      <c r="FQ17" s="52"/>
      <c r="FR17" s="52"/>
      <c r="FS17" s="52"/>
      <c r="FT17" s="52"/>
      <c r="FU17" s="52"/>
    </row>
    <row r="18" spans="1:177" ht="11.25" customHeight="1">
      <c r="A18" s="10"/>
      <c r="B18" s="267" t="s">
        <v>230</v>
      </c>
      <c r="C18" s="684">
        <f>'ET-luvun Laskenta'!G18</f>
        <v>13</v>
      </c>
      <c r="D18" s="682">
        <f>'ET-luvun Laskenta'!H18</f>
        <v>13</v>
      </c>
      <c r="E18" s="683">
        <f>'ET-luvun Laskenta'!I18</f>
        <v>0.24</v>
      </c>
      <c r="F18" s="683">
        <f>'ET-luvun Laskenta'!J18</f>
        <v>0.17</v>
      </c>
      <c r="G18" s="91">
        <f t="shared" si="0"/>
        <v>3.12</v>
      </c>
      <c r="H18" s="92">
        <f t="shared" si="0"/>
        <v>2.21</v>
      </c>
      <c r="I18" s="87">
        <f t="shared" si="1"/>
        <v>-29.166666666666668</v>
      </c>
      <c r="J18" s="88"/>
      <c r="K18" s="10" t="s">
        <v>179</v>
      </c>
      <c r="L18" s="673">
        <v>-8.53</v>
      </c>
      <c r="M18" s="96">
        <f>'ET-luvun Laskenta'!D59-L18</f>
        <v>29.53</v>
      </c>
      <c r="N18" s="97">
        <v>744</v>
      </c>
      <c r="O18" s="98">
        <f>H66/1000*M18*N18+O41</f>
        <v>2394.2363175999994</v>
      </c>
      <c r="P18" s="98">
        <f>0.05/24*'ET-luvun Laskenta'!D62*58.33*N18</f>
        <v>271.2345</v>
      </c>
      <c r="Q18" s="98">
        <f>'ET-luvun Laskenta'!U18</f>
        <v>619.8630136986301</v>
      </c>
      <c r="R18" s="98">
        <f>'ET-luvun Laskenta'!V18</f>
        <v>254.79452054794518</v>
      </c>
      <c r="S18" s="98">
        <f>50*'ET-luvun Laskenta'!C28/8760*N18</f>
        <v>849.3150684931508</v>
      </c>
      <c r="T18" s="99">
        <f>'ET-luvun Laskenta'!D62*0.07*N18*0.6</f>
        <v>93.744</v>
      </c>
      <c r="U18" s="100">
        <f>0.7*Q18</f>
        <v>433.904109589041</v>
      </c>
      <c r="V18" s="100">
        <f>0.3*P18+0.5*R18</f>
        <v>208.7676102739726</v>
      </c>
      <c r="W18" s="100">
        <f>32*'ET-luvun Laskenta'!C28/8760*N18</f>
        <v>543.5616438356165</v>
      </c>
      <c r="X18" s="674">
        <f>'ET-luvun Laskenta'!D81*(0.74*'ET-luvun Laskenta'!C51*L82+0.56*'ET-luvun Laskenta'!C53*N82+0.65*('ET-luvun Laskenta'!C52*M82+'ET-luvun Laskenta'!C54*O82))</f>
        <v>86.98297500000001</v>
      </c>
      <c r="Y18" s="100">
        <f aca="true" t="shared" si="2" ref="Y18:Y29">SUM(T18:X18)</f>
        <v>1366.96033869863</v>
      </c>
      <c r="Z18" s="100">
        <f aca="true" t="shared" si="3" ref="Z18:Z29">Q103*Y18</f>
        <v>1366.9596925284575</v>
      </c>
      <c r="AA18" s="101">
        <f aca="true" t="shared" si="4" ref="AA18:AA29">O18+Q18-Z18</f>
        <v>1647.1396387701718</v>
      </c>
      <c r="AB18" s="792">
        <f>P18+R18</f>
        <v>526.0290205479453</v>
      </c>
      <c r="AC18" s="101">
        <f aca="true" t="shared" si="5" ref="AC18:AC29">AA18+P18+R18</f>
        <v>2173.168659318117</v>
      </c>
      <c r="AD18" s="13"/>
      <c r="AE18" s="13"/>
      <c r="AF18" s="13"/>
      <c r="AG18" s="13"/>
      <c r="AH18" s="13"/>
      <c r="AI18" s="13"/>
      <c r="AJ18" s="13"/>
      <c r="AK18" s="13"/>
      <c r="AL18" s="13"/>
      <c r="AM18" s="13"/>
      <c r="AN18" s="13"/>
      <c r="AO18" s="13"/>
      <c r="AP18" s="102">
        <f>'ET-luvun Laskenta'!D59+((1-Q103)*Y18/(O18-L103)*M18)^0.91</f>
        <v>21.00002398226463</v>
      </c>
      <c r="AQ18" s="102"/>
      <c r="AR18" s="102">
        <f>IF(AP18&lt;='ET-luvun Laskenta'!D60,AP18,'ET-luvun Laskenta'!D60)</f>
        <v>21.00002398226463</v>
      </c>
      <c r="AS18" s="104">
        <f>(1-Q103)*Y18-(AR18-'ET-luvun Laskenta'!D59)^1.1*(O18-L103)/M18</f>
        <v>7.509957006718391E-06</v>
      </c>
      <c r="AT18" s="97">
        <f>AS18/0.7</f>
        <v>1.0728510009597701E-05</v>
      </c>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52"/>
      <c r="FE18" s="52"/>
      <c r="FF18" s="52"/>
      <c r="FG18" s="52"/>
      <c r="FH18" s="52"/>
      <c r="FI18" s="52"/>
      <c r="FJ18" s="52"/>
      <c r="FK18" s="52"/>
      <c r="FL18" s="52"/>
      <c r="FM18" s="52"/>
      <c r="FN18" s="52"/>
      <c r="FO18" s="52"/>
      <c r="FP18" s="52"/>
      <c r="FQ18" s="52"/>
      <c r="FR18" s="52"/>
      <c r="FS18" s="52"/>
      <c r="FT18" s="52"/>
      <c r="FU18" s="52"/>
    </row>
    <row r="19" spans="1:177" ht="11.25" customHeight="1">
      <c r="A19" s="106"/>
      <c r="B19" s="267" t="s">
        <v>131</v>
      </c>
      <c r="C19" s="685">
        <f>'ET-luvun Laskenta'!G19</f>
        <v>80</v>
      </c>
      <c r="D19" s="682">
        <f>'ET-luvun Laskenta'!H19</f>
        <v>80</v>
      </c>
      <c r="E19" s="683">
        <f>'ET-luvun Laskenta'!I19</f>
        <v>0.15</v>
      </c>
      <c r="F19" s="683">
        <f>'ET-luvun Laskenta'!J19</f>
        <v>0.08</v>
      </c>
      <c r="G19" s="91">
        <f t="shared" si="0"/>
        <v>12</v>
      </c>
      <c r="H19" s="92">
        <f t="shared" si="0"/>
        <v>6.4</v>
      </c>
      <c r="I19" s="87">
        <f t="shared" si="1"/>
        <v>-46.666666666666664</v>
      </c>
      <c r="J19" s="88"/>
      <c r="K19" s="10" t="s">
        <v>180</v>
      </c>
      <c r="L19" s="673">
        <v>-9.75</v>
      </c>
      <c r="M19" s="96">
        <f>'ET-luvun Laskenta'!D59-L19</f>
        <v>30.75</v>
      </c>
      <c r="N19" s="97">
        <v>672</v>
      </c>
      <c r="O19" s="98">
        <f>H66/1000*M19*N19+O42</f>
        <v>2253.9602399999994</v>
      </c>
      <c r="P19" s="98">
        <f>0.05/24*'ET-luvun Laskenta'!D62*58.33*N19</f>
        <v>244.98600000000002</v>
      </c>
      <c r="Q19" s="98">
        <f>'ET-luvun Laskenta'!U19</f>
        <v>603.4246575342465</v>
      </c>
      <c r="R19" s="98">
        <f>'ET-luvun Laskenta'!V19</f>
        <v>230.13698630136986</v>
      </c>
      <c r="S19" s="98">
        <f>50*'ET-luvun Laskenta'!C28/8760*N19</f>
        <v>767.1232876712329</v>
      </c>
      <c r="T19" s="99">
        <f>'ET-luvun Laskenta'!D62*0.07*N19*0.6</f>
        <v>84.672</v>
      </c>
      <c r="U19" s="100">
        <f aca="true" t="shared" si="6" ref="U19:U29">0.7*Q19</f>
        <v>422.39726027397256</v>
      </c>
      <c r="V19" s="100">
        <f aca="true" t="shared" si="7" ref="V19:V29">0.3*P19+0.5*R19</f>
        <v>188.56429315068493</v>
      </c>
      <c r="W19" s="100">
        <f>32*'ET-luvun Laskenta'!C28/8760*N19</f>
        <v>490.958904109589</v>
      </c>
      <c r="X19" s="674">
        <f>'ET-luvun Laskenta'!D81*(0.72*'ET-luvun Laskenta'!C51*L83+0.57*'ET-luvun Laskenta'!C53*N83+0.62*('ET-luvun Laskenta'!C52*M83+'ET-luvun Laskenta'!C54*O83))</f>
        <v>393.219855</v>
      </c>
      <c r="Y19" s="100">
        <f t="shared" si="2"/>
        <v>1579.8123125342465</v>
      </c>
      <c r="Z19" s="100">
        <f t="shared" si="3"/>
        <v>1579.6885530223503</v>
      </c>
      <c r="AA19" s="101">
        <f t="shared" si="4"/>
        <v>1277.6963445118959</v>
      </c>
      <c r="AB19" s="792">
        <f aca="true" t="shared" si="8" ref="AB19:AB29">P19+R19</f>
        <v>475.1229863013699</v>
      </c>
      <c r="AC19" s="101">
        <f t="shared" si="5"/>
        <v>1752.8193308132659</v>
      </c>
      <c r="AD19" s="13"/>
      <c r="AE19" s="13"/>
      <c r="AF19" s="13"/>
      <c r="AG19" s="13"/>
      <c r="AH19" s="13"/>
      <c r="AI19" s="13"/>
      <c r="AJ19" s="13"/>
      <c r="AK19" s="13"/>
      <c r="AL19" s="13"/>
      <c r="AM19" s="13"/>
      <c r="AN19" s="13"/>
      <c r="AO19" s="13"/>
      <c r="AP19" s="102">
        <f>'ET-luvun Laskenta'!D59+((1-Q104)*Y19/(O19-L104)*M19)^0.91</f>
        <v>21.00314491424748</v>
      </c>
      <c r="AQ19" s="102"/>
      <c r="AR19" s="102">
        <f>IF(AP19&lt;='ET-luvun Laskenta'!D60,AP19,'ET-luvun Laskenta'!D60)</f>
        <v>21.00314491424748</v>
      </c>
      <c r="AS19" s="104">
        <f>(1-Q104)*Y19-(AR19-'ET-luvun Laskenta'!D59)^1.1*(O19-L104)/M19</f>
        <v>0.0007811489839464475</v>
      </c>
      <c r="AT19" s="97">
        <f>AS19/0.7</f>
        <v>0.0011159271199234965</v>
      </c>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52"/>
      <c r="EQ19" s="52"/>
      <c r="ER19" s="52"/>
      <c r="ES19" s="52"/>
      <c r="ET19" s="52"/>
      <c r="EU19" s="52"/>
      <c r="EV19" s="52"/>
      <c r="EW19" s="52"/>
      <c r="EX19" s="52"/>
      <c r="EY19" s="52"/>
      <c r="EZ19" s="52"/>
      <c r="FA19" s="52"/>
      <c r="FB19" s="52"/>
      <c r="FC19" s="52"/>
      <c r="FD19" s="52"/>
      <c r="FE19" s="52"/>
      <c r="FF19" s="52"/>
      <c r="FG19" s="52"/>
      <c r="FH19" s="52"/>
      <c r="FI19" s="52"/>
      <c r="FJ19" s="52"/>
      <c r="FK19" s="52"/>
      <c r="FL19" s="52"/>
      <c r="FM19" s="52"/>
      <c r="FN19" s="52"/>
      <c r="FO19" s="52"/>
      <c r="FP19" s="52"/>
      <c r="FQ19" s="52"/>
      <c r="FR19" s="52"/>
      <c r="FS19" s="52"/>
      <c r="FT19" s="52"/>
      <c r="FU19" s="52"/>
    </row>
    <row r="20" spans="1:177" ht="11.25" customHeight="1">
      <c r="A20" s="106"/>
      <c r="B20" s="267" t="s">
        <v>532</v>
      </c>
      <c r="C20" s="682">
        <f>'ET-luvun Laskenta'!G20</f>
        <v>50</v>
      </c>
      <c r="D20" s="682">
        <f>'ET-luvun Laskenta'!H20</f>
        <v>50</v>
      </c>
      <c r="E20" s="683">
        <f>'ET-luvun Laskenta'!I20</f>
        <v>0.19</v>
      </c>
      <c r="F20" s="683">
        <f>'ET-luvun Laskenta'!J20</f>
        <v>0.14</v>
      </c>
      <c r="G20" s="91">
        <f>C20*E20*0.8</f>
        <v>7.6000000000000005</v>
      </c>
      <c r="H20" s="92">
        <f>D20*F20*0.8</f>
        <v>5.600000000000001</v>
      </c>
      <c r="I20" s="87">
        <f t="shared" si="1"/>
        <v>-26.315789473684198</v>
      </c>
      <c r="J20" s="88"/>
      <c r="K20" s="10" t="s">
        <v>181</v>
      </c>
      <c r="L20" s="673">
        <v>-1.68</v>
      </c>
      <c r="M20" s="96">
        <f>'ET-luvun Laskenta'!D59-L20</f>
        <v>22.68</v>
      </c>
      <c r="N20" s="97">
        <v>744</v>
      </c>
      <c r="O20" s="98">
        <f>H66/1000*M20*N20+O43</f>
        <v>1859.9050655999997</v>
      </c>
      <c r="P20" s="98">
        <f>0.05/24*'ET-luvun Laskenta'!D62*58.33*N20</f>
        <v>271.2345</v>
      </c>
      <c r="Q20" s="98">
        <f>'ET-luvun Laskenta'!U20</f>
        <v>469.86301369863014</v>
      </c>
      <c r="R20" s="98">
        <f>'ET-luvun Laskenta'!V20</f>
        <v>254.79452054794518</v>
      </c>
      <c r="S20" s="98">
        <f>50*'ET-luvun Laskenta'!C28/8760*N20</f>
        <v>849.3150684931508</v>
      </c>
      <c r="T20" s="99">
        <f>'ET-luvun Laskenta'!D62*0.07*N20*0.6</f>
        <v>93.744</v>
      </c>
      <c r="U20" s="100">
        <f t="shared" si="6"/>
        <v>328.90410958904107</v>
      </c>
      <c r="V20" s="100">
        <f t="shared" si="7"/>
        <v>208.7676102739726</v>
      </c>
      <c r="W20" s="100">
        <f>32*'ET-luvun Laskenta'!C28/8760*N20</f>
        <v>543.5616438356165</v>
      </c>
      <c r="X20" s="674">
        <f>'ET-luvun Laskenta'!D81*(0.72*'ET-luvun Laskenta'!C51*L84+0.6*'ET-luvun Laskenta'!C53*N84+0.62*('ET-luvun Laskenta'!C52*M84+'ET-luvun Laskenta'!C54*O84))</f>
        <v>580.40802</v>
      </c>
      <c r="Y20" s="100">
        <f t="shared" si="2"/>
        <v>1755.38538369863</v>
      </c>
      <c r="Z20" s="100">
        <f t="shared" si="3"/>
        <v>1711.435143588224</v>
      </c>
      <c r="AA20" s="101">
        <f t="shared" si="4"/>
        <v>618.3329357104058</v>
      </c>
      <c r="AB20" s="792">
        <f t="shared" si="8"/>
        <v>526.0290205479453</v>
      </c>
      <c r="AC20" s="101">
        <f t="shared" si="5"/>
        <v>1144.361956258351</v>
      </c>
      <c r="AD20" s="13"/>
      <c r="AE20" s="13"/>
      <c r="AF20" s="13"/>
      <c r="AG20" s="13"/>
      <c r="AH20" s="13"/>
      <c r="AI20" s="13"/>
      <c r="AJ20" s="13"/>
      <c r="AK20" s="13"/>
      <c r="AL20" s="13"/>
      <c r="AM20" s="13"/>
      <c r="AN20" s="13"/>
      <c r="AO20" s="13"/>
      <c r="AP20" s="102">
        <f>'ET-luvun Laskenta'!D59+((1-Q105)*Y20/(O20-L105)*M20)^0.91</f>
        <v>21.582175710722872</v>
      </c>
      <c r="AQ20" s="102"/>
      <c r="AR20" s="102">
        <f>IF(AP20&lt;='ET-luvun Laskenta'!D60,AP20,'ET-luvun Laskenta'!D60)</f>
        <v>21.582175710722872</v>
      </c>
      <c r="AS20" s="104">
        <f>(1-Q105)*Y20-(AR20-'ET-luvun Laskenta'!D59)^1.1*(O20-L105)/M20</f>
        <v>0.026120071865975092</v>
      </c>
      <c r="AT20" s="97">
        <f aca="true" t="shared" si="9" ref="AT20:AT31">AS20/0.7</f>
        <v>0.03731438837996442</v>
      </c>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52"/>
      <c r="FE20" s="52"/>
      <c r="FF20" s="52"/>
      <c r="FG20" s="52"/>
      <c r="FH20" s="52"/>
      <c r="FI20" s="52"/>
      <c r="FJ20" s="52"/>
      <c r="FK20" s="52"/>
      <c r="FL20" s="52"/>
      <c r="FM20" s="52"/>
      <c r="FN20" s="52"/>
      <c r="FO20" s="52"/>
      <c r="FP20" s="52"/>
      <c r="FQ20" s="52"/>
      <c r="FR20" s="52"/>
      <c r="FS20" s="52"/>
      <c r="FT20" s="52"/>
      <c r="FU20" s="52"/>
    </row>
    <row r="21" spans="1:177" ht="11.25" customHeight="1">
      <c r="A21" s="108"/>
      <c r="B21" s="268" t="s">
        <v>531</v>
      </c>
      <c r="C21" s="686">
        <f>'ET-luvun Laskenta'!G21</f>
        <v>30</v>
      </c>
      <c r="D21" s="686">
        <f>'ET-luvun Laskenta'!H21</f>
        <v>30</v>
      </c>
      <c r="E21" s="687">
        <f>'ET-luvun Laskenta'!I21</f>
        <v>0.24</v>
      </c>
      <c r="F21" s="687">
        <f>'ET-luvun Laskenta'!J21</f>
        <v>0.2</v>
      </c>
      <c r="G21" s="91">
        <f>C21*E21</f>
        <v>7.199999999999999</v>
      </c>
      <c r="H21" s="92">
        <f>D21*F21</f>
        <v>6</v>
      </c>
      <c r="I21" s="87">
        <f t="shared" si="1"/>
        <v>-16.666666666666657</v>
      </c>
      <c r="J21" s="110"/>
      <c r="K21" s="10" t="s">
        <v>182</v>
      </c>
      <c r="L21" s="673">
        <v>1.8</v>
      </c>
      <c r="M21" s="96">
        <f>'ET-luvun Laskenta'!D59-L21</f>
        <v>19.2</v>
      </c>
      <c r="N21" s="97">
        <v>720</v>
      </c>
      <c r="O21" s="98">
        <f>H66/1000*M21*N21+O44</f>
        <v>1537.1395199999997</v>
      </c>
      <c r="P21" s="98">
        <f>0.05/24*'ET-luvun Laskenta'!D62*58.33*N21</f>
        <v>262.485</v>
      </c>
      <c r="Q21" s="98">
        <f>'ET-luvun Laskenta'!U21</f>
        <v>464.3835616438356</v>
      </c>
      <c r="R21" s="98">
        <f>'ET-luvun Laskenta'!V21</f>
        <v>246.5753424657534</v>
      </c>
      <c r="S21" s="98">
        <f>50*'ET-luvun Laskenta'!C28/8760*N21</f>
        <v>821.9178082191781</v>
      </c>
      <c r="T21" s="99">
        <f>'ET-luvun Laskenta'!D62*0.07*N21*0.6</f>
        <v>90.72000000000001</v>
      </c>
      <c r="U21" s="100">
        <f t="shared" si="6"/>
        <v>325.0684931506849</v>
      </c>
      <c r="V21" s="100">
        <f t="shared" si="7"/>
        <v>202.03317123287673</v>
      </c>
      <c r="W21" s="100">
        <f>32*'ET-luvun Laskenta'!C28/8760*N21</f>
        <v>526.0273972602739</v>
      </c>
      <c r="X21" s="674">
        <f>'ET-luvun Laskenta'!D81*(0.7*'ET-luvun Laskenta'!C51*L85+0.62*'ET-luvun Laskenta'!C53*N85+0.62*('ET-luvun Laskenta'!C52*M85+'ET-luvun Laskenta'!C54*O85))</f>
        <v>715.31226</v>
      </c>
      <c r="Y21" s="100">
        <f t="shared" si="2"/>
        <v>1859.161321643836</v>
      </c>
      <c r="Z21" s="100">
        <f t="shared" si="3"/>
        <v>1514.1787530781412</v>
      </c>
      <c r="AA21" s="101">
        <f t="shared" si="4"/>
        <v>487.344328565694</v>
      </c>
      <c r="AB21" s="792">
        <f t="shared" si="8"/>
        <v>509.0603424657534</v>
      </c>
      <c r="AC21" s="101">
        <f t="shared" si="5"/>
        <v>996.4046710314474</v>
      </c>
      <c r="AD21" s="13"/>
      <c r="AE21" s="13"/>
      <c r="AF21" s="13"/>
      <c r="AG21" s="13"/>
      <c r="AH21" s="13"/>
      <c r="AI21" s="13"/>
      <c r="AJ21" s="13"/>
      <c r="AK21" s="13"/>
      <c r="AL21" s="13"/>
      <c r="AM21" s="13"/>
      <c r="AN21" s="13"/>
      <c r="AO21" s="13"/>
      <c r="AP21" s="102">
        <f>'ET-luvun Laskenta'!D59+((1-Q106)*Y21/(O21-L106)*M21)^0.91</f>
        <v>24.82667306817753</v>
      </c>
      <c r="AQ21" s="102"/>
      <c r="AR21" s="102">
        <f>IF(AP21&lt;='ET-luvun Laskenta'!D60,AP21,'ET-luvun Laskenta'!D60)</f>
        <v>23</v>
      </c>
      <c r="AS21" s="104">
        <f>(1-Q106)*Y21-(AR21-'ET-luvun Laskenta'!D59)^1.1*(O21-L106)/M21</f>
        <v>175.75655894739364</v>
      </c>
      <c r="AT21" s="97">
        <f t="shared" si="9"/>
        <v>251.08079849627666</v>
      </c>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52"/>
      <c r="FE21" s="52"/>
      <c r="FF21" s="52"/>
      <c r="FG21" s="52"/>
      <c r="FH21" s="52"/>
      <c r="FI21" s="52"/>
      <c r="FJ21" s="52"/>
      <c r="FK21" s="52"/>
      <c r="FL21" s="52"/>
      <c r="FM21" s="52"/>
      <c r="FN21" s="52"/>
      <c r="FO21" s="52"/>
      <c r="FP21" s="52"/>
      <c r="FQ21" s="52"/>
      <c r="FR21" s="52"/>
      <c r="FS21" s="52"/>
      <c r="FT21" s="52"/>
      <c r="FU21" s="52"/>
    </row>
    <row r="22" spans="1:177" ht="11.25" customHeight="1">
      <c r="A22" s="108"/>
      <c r="B22" s="267" t="s">
        <v>316</v>
      </c>
      <c r="C22" s="688">
        <f>'ET-luvun Laskenta'!G22</f>
        <v>30</v>
      </c>
      <c r="D22" s="689">
        <f>'ET-luvun Laskenta'!H22</f>
        <v>35</v>
      </c>
      <c r="E22" s="683">
        <f>'ET-luvun Laskenta'!I22</f>
        <v>1.4</v>
      </c>
      <c r="F22" s="683"/>
      <c r="G22" s="91">
        <f>C22*E22</f>
        <v>42</v>
      </c>
      <c r="H22" s="92"/>
      <c r="I22" s="87">
        <f>IF(G22=0,"",((H23+H24+H25+H26)-G22)/G22*100)</f>
        <v>-24.71428571428571</v>
      </c>
      <c r="J22" s="88"/>
      <c r="K22" s="10" t="s">
        <v>183</v>
      </c>
      <c r="L22" s="673">
        <v>10.8</v>
      </c>
      <c r="M22" s="96">
        <f>'ET-luvun Laskenta'!D59-L22</f>
        <v>10.2</v>
      </c>
      <c r="N22" s="97">
        <v>744</v>
      </c>
      <c r="O22" s="98">
        <f>H66/1000*M22*N22+O45</f>
        <v>874.6062239999998</v>
      </c>
      <c r="P22" s="98">
        <f>0.05/24*'ET-luvun Laskenta'!D62*58.33*N22</f>
        <v>271.2345</v>
      </c>
      <c r="Q22" s="98">
        <f>'ET-luvun Laskenta'!U22</f>
        <v>319.86301369863014</v>
      </c>
      <c r="R22" s="98">
        <f>'ET-luvun Laskenta'!V22</f>
        <v>254.79452054794518</v>
      </c>
      <c r="S22" s="98">
        <f>50*'ET-luvun Laskenta'!C28/8760*N22</f>
        <v>849.3150684931508</v>
      </c>
      <c r="T22" s="99">
        <f>'ET-luvun Laskenta'!D62*0.07*N22*0.6</f>
        <v>93.744</v>
      </c>
      <c r="U22" s="100">
        <f t="shared" si="6"/>
        <v>223.90410958904107</v>
      </c>
      <c r="V22" s="100">
        <f t="shared" si="7"/>
        <v>208.7676102739726</v>
      </c>
      <c r="W22" s="100">
        <f>32*'ET-luvun Laskenta'!C28/8760*N22</f>
        <v>543.5616438356165</v>
      </c>
      <c r="X22" s="674">
        <f>'ET-luvun Laskenta'!D81*(0.21*'ET-luvun Laskenta'!C51*L86+0.2*'ET-luvun Laskenta'!C53*N86+0.19*('ET-luvun Laskenta'!C52*M86+'ET-luvun Laskenta'!C54*O86))</f>
        <v>308.543805</v>
      </c>
      <c r="Y22" s="100">
        <f t="shared" si="2"/>
        <v>1378.5211686986302</v>
      </c>
      <c r="Z22" s="100">
        <f t="shared" si="3"/>
        <v>874.6007910628181</v>
      </c>
      <c r="AA22" s="101">
        <f t="shared" si="4"/>
        <v>319.8684466358119</v>
      </c>
      <c r="AB22" s="792">
        <f t="shared" si="8"/>
        <v>526.0290205479453</v>
      </c>
      <c r="AC22" s="101">
        <f t="shared" si="5"/>
        <v>845.897467183757</v>
      </c>
      <c r="AD22" s="13"/>
      <c r="AE22" s="13"/>
      <c r="AF22" s="13"/>
      <c r="AG22" s="13"/>
      <c r="AH22" s="13"/>
      <c r="AI22" s="13"/>
      <c r="AJ22" s="13"/>
      <c r="AK22" s="13"/>
      <c r="AL22" s="13"/>
      <c r="AM22" s="13"/>
      <c r="AN22" s="13"/>
      <c r="AO22" s="13"/>
      <c r="AP22" s="102">
        <f>'ET-luvun Laskenta'!D59+((1-Q107)*Y22/(O22-L107)*M22)^0.91</f>
        <v>26.01101925282156</v>
      </c>
      <c r="AQ22" s="102"/>
      <c r="AR22" s="102">
        <f>IF(AP22&lt;='ET-luvun Laskenta'!D60,AP22,'ET-luvun Laskenta'!D60)</f>
        <v>23</v>
      </c>
      <c r="AS22" s="104">
        <f>(1-Q107)*Y22-(AR22-'ET-luvun Laskenta'!D59)^1.1*(O22-L107)/M22</f>
        <v>320.12042840987635</v>
      </c>
      <c r="AT22" s="97">
        <f t="shared" si="9"/>
        <v>457.31489772839484</v>
      </c>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c r="FT22" s="52"/>
      <c r="FU22" s="52"/>
    </row>
    <row r="23" spans="1:177" ht="11.25" customHeight="1">
      <c r="A23" s="108"/>
      <c r="B23" s="267" t="s">
        <v>287</v>
      </c>
      <c r="C23" s="689"/>
      <c r="D23" s="689">
        <f>'ET-luvun Laskenta'!H23</f>
        <v>5</v>
      </c>
      <c r="E23" s="683">
        <f>'ET-luvun Laskenta'!I23</f>
        <v>1.4</v>
      </c>
      <c r="F23" s="683">
        <f>'ET-luvun Laskenta'!J23</f>
        <v>1.3</v>
      </c>
      <c r="G23" s="91"/>
      <c r="H23" s="92">
        <f aca="true" t="shared" si="10" ref="H23:H28">D23*F23</f>
        <v>6.5</v>
      </c>
      <c r="I23" s="87"/>
      <c r="J23" s="88"/>
      <c r="K23" s="10" t="s">
        <v>184</v>
      </c>
      <c r="L23" s="673">
        <v>16</v>
      </c>
      <c r="M23" s="96">
        <f>'ET-luvun Laskenta'!D59-L23</f>
        <v>5</v>
      </c>
      <c r="N23" s="97">
        <v>720</v>
      </c>
      <c r="O23" s="98">
        <f>H66/1000*M23*N23+O46</f>
        <v>442.9752</v>
      </c>
      <c r="P23" s="98">
        <f>0.05/24*'ET-luvun Laskenta'!D62*58.33*N23</f>
        <v>262.485</v>
      </c>
      <c r="Q23" s="98">
        <f>'ET-luvun Laskenta'!U23</f>
        <v>164.3835616438356</v>
      </c>
      <c r="R23" s="98">
        <f>'ET-luvun Laskenta'!V23</f>
        <v>246.5753424657534</v>
      </c>
      <c r="S23" s="98">
        <f>50*'ET-luvun Laskenta'!C28/8760*N23</f>
        <v>821.9178082191781</v>
      </c>
      <c r="T23" s="99">
        <f>'ET-luvun Laskenta'!D62*0.07*N23*0.6</f>
        <v>90.72000000000001</v>
      </c>
      <c r="U23" s="100">
        <f t="shared" si="6"/>
        <v>115.06849315068492</v>
      </c>
      <c r="V23" s="100">
        <f t="shared" si="7"/>
        <v>202.03317123287673</v>
      </c>
      <c r="W23" s="100">
        <f>32*'ET-luvun Laskenta'!C28/8760*N23</f>
        <v>526.0273972602739</v>
      </c>
      <c r="X23" s="674">
        <f>'ET-luvun Laskenta'!D81*(0.19*'ET-luvun Laskenta'!C51*L87+0.2*'ET-luvun Laskenta'!C53*N87+0.19*('ET-luvun Laskenta'!C52*M87+'ET-luvun Laskenta'!C54*O87))</f>
        <v>339.757335</v>
      </c>
      <c r="Y23" s="100">
        <f t="shared" si="2"/>
        <v>1273.6063966438355</v>
      </c>
      <c r="Z23" s="100">
        <f t="shared" si="3"/>
        <v>442.975199988459</v>
      </c>
      <c r="AA23" s="101">
        <f t="shared" si="4"/>
        <v>164.38356165537658</v>
      </c>
      <c r="AB23" s="792">
        <f t="shared" si="8"/>
        <v>509.0603424657534</v>
      </c>
      <c r="AC23" s="101">
        <f t="shared" si="5"/>
        <v>673.44390412113</v>
      </c>
      <c r="AD23" s="13"/>
      <c r="AE23" s="13"/>
      <c r="AF23" s="13"/>
      <c r="AG23" s="13"/>
      <c r="AH23" s="13"/>
      <c r="AI23" s="13"/>
      <c r="AJ23" s="13"/>
      <c r="AK23" s="13"/>
      <c r="AL23" s="13"/>
      <c r="AM23" s="13"/>
      <c r="AN23" s="13"/>
      <c r="AO23" s="13"/>
      <c r="AP23" s="102">
        <f>'ET-luvun Laskenta'!D59+((1-Q108)*Y23/(O23-L108)*M23)^0.91</f>
        <v>28.665119589068723</v>
      </c>
      <c r="AQ23" s="102"/>
      <c r="AR23" s="102">
        <f>IF(AP23&lt;='ET-luvun Laskenta'!D60,AP23,'ET-luvun Laskenta'!D60)</f>
        <v>23</v>
      </c>
      <c r="AS23" s="104">
        <f>(1-Q108)*Y23-(AR23-'ET-luvun Laskenta'!D59)^1.1*(O23-L108)/M23</f>
        <v>640.7235710866937</v>
      </c>
      <c r="AT23" s="97">
        <f t="shared" si="9"/>
        <v>915.3193872667053</v>
      </c>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c r="FT23" s="52"/>
      <c r="FU23" s="52"/>
    </row>
    <row r="24" spans="1:177" ht="11.25" customHeight="1">
      <c r="A24" s="108"/>
      <c r="B24" s="267" t="s">
        <v>289</v>
      </c>
      <c r="C24" s="689"/>
      <c r="D24" s="689">
        <f>'ET-luvun Laskenta'!H24</f>
        <v>5.6</v>
      </c>
      <c r="E24" s="683">
        <f>'ET-luvun Laskenta'!I24</f>
        <v>1.4</v>
      </c>
      <c r="F24" s="683">
        <f>'ET-luvun Laskenta'!J24</f>
        <v>1</v>
      </c>
      <c r="G24" s="91"/>
      <c r="H24" s="92">
        <f t="shared" si="10"/>
        <v>5.6</v>
      </c>
      <c r="I24" s="87"/>
      <c r="J24" s="88"/>
      <c r="K24" s="10" t="s">
        <v>185</v>
      </c>
      <c r="L24" s="673">
        <v>14.7</v>
      </c>
      <c r="M24" s="96">
        <f>'ET-luvun Laskenta'!D59-L24</f>
        <v>6.300000000000001</v>
      </c>
      <c r="N24" s="97">
        <v>744</v>
      </c>
      <c r="O24" s="98">
        <f>H66/1000*M24*N24+O47</f>
        <v>551.913336</v>
      </c>
      <c r="P24" s="98">
        <f>0.05/24*'ET-luvun Laskenta'!D62*58.33*N24</f>
        <v>271.2345</v>
      </c>
      <c r="Q24" s="98">
        <f>'ET-luvun Laskenta'!U24</f>
        <v>169.86301369863014</v>
      </c>
      <c r="R24" s="98">
        <f>'ET-luvun Laskenta'!V24</f>
        <v>254.79452054794518</v>
      </c>
      <c r="S24" s="98">
        <f>50*'ET-luvun Laskenta'!C28/8760*N24</f>
        <v>849.3150684931508</v>
      </c>
      <c r="T24" s="99">
        <f>'ET-luvun Laskenta'!D62*0.07*N24*0.6</f>
        <v>93.744</v>
      </c>
      <c r="U24" s="100">
        <f t="shared" si="6"/>
        <v>118.90410958904108</v>
      </c>
      <c r="V24" s="100">
        <f t="shared" si="7"/>
        <v>208.7676102739726</v>
      </c>
      <c r="W24" s="100">
        <f>32*'ET-luvun Laskenta'!C28/8760*N24</f>
        <v>543.5616438356165</v>
      </c>
      <c r="X24" s="674">
        <f>'ET-luvun Laskenta'!D81*(0.2*'ET-luvun Laskenta'!C51*L88+0.2*'ET-luvun Laskenta'!C53*N88+0.19*('ET-luvun Laskenta'!C52*M88+'ET-luvun Laskenta'!C54*O88))</f>
        <v>238.27194</v>
      </c>
      <c r="Y24" s="100">
        <f t="shared" si="2"/>
        <v>1203.2493036986302</v>
      </c>
      <c r="Z24" s="100">
        <f t="shared" si="3"/>
        <v>551.9133330408931</v>
      </c>
      <c r="AA24" s="101">
        <f t="shared" si="4"/>
        <v>169.86301665773703</v>
      </c>
      <c r="AB24" s="792">
        <f t="shared" si="8"/>
        <v>526.0290205479453</v>
      </c>
      <c r="AC24" s="101">
        <f t="shared" si="5"/>
        <v>695.8920372056823</v>
      </c>
      <c r="AD24" s="13"/>
      <c r="AE24" s="13"/>
      <c r="AF24" s="13"/>
      <c r="AG24" s="13"/>
      <c r="AH24" s="13"/>
      <c r="AI24" s="13"/>
      <c r="AJ24" s="13"/>
      <c r="AK24" s="13"/>
      <c r="AL24" s="13"/>
      <c r="AM24" s="13"/>
      <c r="AN24" s="13"/>
      <c r="AO24" s="13"/>
      <c r="AP24" s="102">
        <f>'ET-luvun Laskenta'!D59+((1-Q109)*Y24/(O24-L109)*M24)^0.91</f>
        <v>27.206689209222077</v>
      </c>
      <c r="AQ24" s="102"/>
      <c r="AR24" s="102">
        <f>IF(AP24&lt;='ET-luvun Laskenta'!D60,AP24,'ET-luvun Laskenta'!D60)</f>
        <v>23</v>
      </c>
      <c r="AS24" s="104">
        <f>(1-Q109)*Y24-(AR24-'ET-luvun Laskenta'!D59)^1.1*(O24-L109)/M24</f>
        <v>463.5499175959351</v>
      </c>
      <c r="AT24" s="97">
        <f t="shared" si="9"/>
        <v>662.2141679941931</v>
      </c>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s="52"/>
      <c r="FH24" s="52"/>
      <c r="FI24" s="52"/>
      <c r="FJ24" s="52"/>
      <c r="FK24" s="52"/>
      <c r="FL24" s="52"/>
      <c r="FM24" s="52"/>
      <c r="FN24" s="52"/>
      <c r="FO24" s="52"/>
      <c r="FP24" s="52"/>
      <c r="FQ24" s="52"/>
      <c r="FR24" s="52"/>
      <c r="FS24" s="52"/>
      <c r="FT24" s="52"/>
      <c r="FU24" s="52"/>
    </row>
    <row r="25" spans="1:177" ht="11.25" customHeight="1">
      <c r="A25" s="108"/>
      <c r="B25" s="267" t="s">
        <v>288</v>
      </c>
      <c r="C25" s="689"/>
      <c r="D25" s="689">
        <f>'ET-luvun Laskenta'!H25</f>
        <v>16.5</v>
      </c>
      <c r="E25" s="683">
        <f>'ET-luvun Laskenta'!I25</f>
        <v>1.4</v>
      </c>
      <c r="F25" s="683">
        <f>'ET-luvun Laskenta'!J25</f>
        <v>0.8</v>
      </c>
      <c r="G25" s="91"/>
      <c r="H25" s="92">
        <f t="shared" si="10"/>
        <v>13.200000000000001</v>
      </c>
      <c r="I25" s="87"/>
      <c r="J25" s="88"/>
      <c r="K25" s="10" t="s">
        <v>186</v>
      </c>
      <c r="L25" s="673">
        <v>16</v>
      </c>
      <c r="M25" s="96">
        <f>'ET-luvun Laskenta'!D59-L25</f>
        <v>5</v>
      </c>
      <c r="N25" s="97">
        <v>744</v>
      </c>
      <c r="O25" s="98">
        <f>H66/1000*M25*N25+O48</f>
        <v>444.34903999999995</v>
      </c>
      <c r="P25" s="98">
        <f>0.05/24*'ET-luvun Laskenta'!D62*58.33*N25</f>
        <v>271.2345</v>
      </c>
      <c r="Q25" s="98">
        <f>'ET-luvun Laskenta'!U25</f>
        <v>169.86301369863014</v>
      </c>
      <c r="R25" s="98">
        <f>'ET-luvun Laskenta'!V25</f>
        <v>254.79452054794518</v>
      </c>
      <c r="S25" s="98">
        <f>50*'ET-luvun Laskenta'!C28/8760*N25</f>
        <v>849.3150684931508</v>
      </c>
      <c r="T25" s="99">
        <f>'ET-luvun Laskenta'!D62*0.07*N25*0.6</f>
        <v>93.744</v>
      </c>
      <c r="U25" s="100">
        <f t="shared" si="6"/>
        <v>118.90410958904108</v>
      </c>
      <c r="V25" s="100">
        <f t="shared" si="7"/>
        <v>208.7676102739726</v>
      </c>
      <c r="W25" s="100">
        <f>32*'ET-luvun Laskenta'!C28/8760*N25</f>
        <v>543.5616438356165</v>
      </c>
      <c r="X25" s="674">
        <f>'ET-luvun Laskenta'!D81*(0.2*'ET-luvun Laskenta'!C51*L89+0.18*'ET-luvun Laskenta'!C53*N89+0.18*('ET-luvun Laskenta'!C52*M89+'ET-luvun Laskenta'!C54*O89))</f>
        <v>250.08003</v>
      </c>
      <c r="Y25" s="100">
        <f t="shared" si="2"/>
        <v>1215.0573936986302</v>
      </c>
      <c r="Z25" s="100">
        <f t="shared" si="3"/>
        <v>444.34903998179925</v>
      </c>
      <c r="AA25" s="101">
        <f t="shared" si="4"/>
        <v>169.8630137168309</v>
      </c>
      <c r="AB25" s="792">
        <f t="shared" si="8"/>
        <v>526.0290205479453</v>
      </c>
      <c r="AC25" s="101">
        <f t="shared" si="5"/>
        <v>695.8920342647762</v>
      </c>
      <c r="AD25" s="13"/>
      <c r="AE25" s="13"/>
      <c r="AF25" s="13"/>
      <c r="AG25" s="13"/>
      <c r="AH25" s="13"/>
      <c r="AI25" s="13"/>
      <c r="AJ25" s="13"/>
      <c r="AK25" s="13"/>
      <c r="AL25" s="13"/>
      <c r="AM25" s="13"/>
      <c r="AN25" s="13"/>
      <c r="AO25" s="13"/>
      <c r="AP25" s="102">
        <f>'ET-luvun Laskenta'!D59+((1-Q110)*Y25/(O25-L110)*M25)^0.91</f>
        <v>28.140088589407124</v>
      </c>
      <c r="AQ25" s="102"/>
      <c r="AR25" s="102">
        <f>IF(AP25&lt;='ET-luvun Laskenta'!D60,AP25,'ET-luvun Laskenta'!D60)</f>
        <v>23</v>
      </c>
      <c r="AS25" s="104">
        <f>(1-Q110)*Y25-(AR25-'ET-luvun Laskenta'!D59)^1.1*(O25-L110)/M25</f>
        <v>580.2117500466398</v>
      </c>
      <c r="AT25" s="97">
        <f t="shared" si="9"/>
        <v>828.873928638057</v>
      </c>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c r="FN25" s="52"/>
      <c r="FO25" s="52"/>
      <c r="FP25" s="52"/>
      <c r="FQ25" s="52"/>
      <c r="FR25" s="52"/>
      <c r="FS25" s="52"/>
      <c r="FT25" s="52"/>
      <c r="FU25" s="52"/>
    </row>
    <row r="26" spans="1:177" ht="11.25" customHeight="1">
      <c r="A26" s="108"/>
      <c r="B26" s="267" t="s">
        <v>290</v>
      </c>
      <c r="C26" s="689"/>
      <c r="D26" s="689">
        <f>'ET-luvun Laskenta'!H26</f>
        <v>7.9</v>
      </c>
      <c r="E26" s="683">
        <f>'ET-luvun Laskenta'!I26</f>
        <v>1.4</v>
      </c>
      <c r="F26" s="683">
        <f>'ET-luvun Laskenta'!J26</f>
        <v>0.8</v>
      </c>
      <c r="G26" s="113"/>
      <c r="H26" s="92">
        <f t="shared" si="10"/>
        <v>6.32</v>
      </c>
      <c r="I26" s="87"/>
      <c r="J26" s="88"/>
      <c r="K26" s="10" t="s">
        <v>187</v>
      </c>
      <c r="L26" s="673">
        <v>9.69</v>
      </c>
      <c r="M26" s="96">
        <f>'ET-luvun Laskenta'!D59-L26</f>
        <v>11.31</v>
      </c>
      <c r="N26" s="97">
        <v>720</v>
      </c>
      <c r="O26" s="98">
        <f>H66/1000*M26*N26+O49</f>
        <v>909.9851759999998</v>
      </c>
      <c r="P26" s="98">
        <f>0.05/24*'ET-luvun Laskenta'!D62*58.33*N26</f>
        <v>262.485</v>
      </c>
      <c r="Q26" s="98">
        <f>'ET-luvun Laskenta'!U26</f>
        <v>314.3835616438356</v>
      </c>
      <c r="R26" s="98">
        <f>'ET-luvun Laskenta'!V26</f>
        <v>246.5753424657534</v>
      </c>
      <c r="S26" s="98">
        <f>50*'ET-luvun Laskenta'!C28/8760*N26</f>
        <v>821.9178082191781</v>
      </c>
      <c r="T26" s="99">
        <f>'ET-luvun Laskenta'!D62*0.07*N26*0.6</f>
        <v>90.72000000000001</v>
      </c>
      <c r="U26" s="100">
        <f t="shared" si="6"/>
        <v>220.0684931506849</v>
      </c>
      <c r="V26" s="100">
        <f t="shared" si="7"/>
        <v>202.03317123287673</v>
      </c>
      <c r="W26" s="100">
        <f>32*'ET-luvun Laskenta'!C28/8760*N26</f>
        <v>526.0273972602739</v>
      </c>
      <c r="X26" s="674">
        <f>'ET-luvun Laskenta'!D81*(0.21*'ET-luvun Laskenta'!C51*L90+0.18*'ET-luvun Laskenta'!C53*N90+0.19*('ET-luvun Laskenta'!C52*M90+'ET-luvun Laskenta'!C54*O90))</f>
        <v>186.380325</v>
      </c>
      <c r="Y26" s="100">
        <f t="shared" si="2"/>
        <v>1225.2293866438358</v>
      </c>
      <c r="Z26" s="100">
        <f t="shared" si="3"/>
        <v>909.8413785343866</v>
      </c>
      <c r="AA26" s="101">
        <f t="shared" si="4"/>
        <v>314.52735910944875</v>
      </c>
      <c r="AB26" s="792">
        <f t="shared" si="8"/>
        <v>509.0603424657534</v>
      </c>
      <c r="AC26" s="101">
        <f t="shared" si="5"/>
        <v>823.5877015752021</v>
      </c>
      <c r="AD26" s="13"/>
      <c r="AE26" s="13"/>
      <c r="AF26" s="13"/>
      <c r="AG26" s="13"/>
      <c r="AH26" s="13"/>
      <c r="AI26" s="13"/>
      <c r="AJ26" s="13"/>
      <c r="AK26" s="13"/>
      <c r="AL26" s="13"/>
      <c r="AM26" s="13"/>
      <c r="AN26" s="13"/>
      <c r="AO26" s="13"/>
      <c r="AP26" s="102">
        <f>'ET-luvun Laskenta'!D59+((1-Q111)*Y26/(O26-L111)*M26)^0.91</f>
        <v>24.4664014038874</v>
      </c>
      <c r="AQ26" s="102"/>
      <c r="AR26" s="102">
        <f>IF(AP26&lt;='ET-luvun Laskenta'!D60,AP26,'ET-luvun Laskenta'!D60)</f>
        <v>23</v>
      </c>
      <c r="AS26" s="104">
        <f>(1-Q111)*Y26-(AR26-'ET-luvun Laskenta'!D59)^1.1*(O26-L111)/M26</f>
        <v>142.9215248312498</v>
      </c>
      <c r="AT26" s="97">
        <f t="shared" si="9"/>
        <v>204.17360690178543</v>
      </c>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c r="FT26" s="52"/>
      <c r="FU26" s="52"/>
    </row>
    <row r="27" spans="1:177" ht="11.25" customHeight="1">
      <c r="A27" s="108"/>
      <c r="B27" s="267" t="s">
        <v>123</v>
      </c>
      <c r="C27" s="689">
        <f>'ET-luvun Laskenta'!G27</f>
        <v>7</v>
      </c>
      <c r="D27" s="689">
        <f>'ET-luvun Laskenta'!H27</f>
        <v>7</v>
      </c>
      <c r="E27" s="683">
        <f>'ET-luvun Laskenta'!I27</f>
        <v>1.4</v>
      </c>
      <c r="F27" s="683">
        <f>'ET-luvun Laskenta'!J27</f>
        <v>1</v>
      </c>
      <c r="G27" s="113">
        <f>C27*E27</f>
        <v>9.799999999999999</v>
      </c>
      <c r="H27" s="114">
        <f t="shared" si="10"/>
        <v>7</v>
      </c>
      <c r="I27" s="87">
        <f t="shared" si="1"/>
        <v>-28.571428571428566</v>
      </c>
      <c r="J27" s="88"/>
      <c r="K27" s="10" t="s">
        <v>188</v>
      </c>
      <c r="L27" s="673">
        <v>3.95</v>
      </c>
      <c r="M27" s="96">
        <f>'ET-luvun Laskenta'!D59-L27</f>
        <v>17.05</v>
      </c>
      <c r="N27" s="97">
        <v>744</v>
      </c>
      <c r="O27" s="98">
        <f>H66/1000*M27*N27+O50</f>
        <v>1391.0814759999998</v>
      </c>
      <c r="P27" s="98">
        <f>0.05/24*'ET-luvun Laskenta'!D62*58.33*N27</f>
        <v>271.2345</v>
      </c>
      <c r="Q27" s="98">
        <f>'ET-luvun Laskenta'!U27</f>
        <v>469.86301369863014</v>
      </c>
      <c r="R27" s="98">
        <f>'ET-luvun Laskenta'!V27</f>
        <v>254.79452054794518</v>
      </c>
      <c r="S27" s="98">
        <f>50*'ET-luvun Laskenta'!C28/8760*N27</f>
        <v>849.3150684931508</v>
      </c>
      <c r="T27" s="99">
        <f>'ET-luvun Laskenta'!D62*0.07*N27*0.6</f>
        <v>93.744</v>
      </c>
      <c r="U27" s="100">
        <f t="shared" si="6"/>
        <v>328.90410958904107</v>
      </c>
      <c r="V27" s="100">
        <f t="shared" si="7"/>
        <v>208.7676102739726</v>
      </c>
      <c r="W27" s="100">
        <f>32*'ET-luvun Laskenta'!C28/8760*N27</f>
        <v>543.5616438356165</v>
      </c>
      <c r="X27" s="674">
        <f>'ET-luvun Laskenta'!D81*(0.72*'ET-luvun Laskenta'!C51*L91+0.57*'ET-luvun Laskenta'!C53*N91+0.64*('ET-luvun Laskenta'!C52*M91+'ET-luvun Laskenta'!C54*O91))</f>
        <v>326.64064499999995</v>
      </c>
      <c r="Y27" s="100">
        <f t="shared" si="2"/>
        <v>1501.61800869863</v>
      </c>
      <c r="Z27" s="100">
        <f t="shared" si="3"/>
        <v>1372.0616281380703</v>
      </c>
      <c r="AA27" s="101">
        <f t="shared" si="4"/>
        <v>488.8828615605596</v>
      </c>
      <c r="AB27" s="792">
        <f t="shared" si="8"/>
        <v>526.0290205479453</v>
      </c>
      <c r="AC27" s="101">
        <f t="shared" si="5"/>
        <v>1014.9118821085049</v>
      </c>
      <c r="AD27" s="13"/>
      <c r="AE27" s="13"/>
      <c r="AF27" s="13"/>
      <c r="AG27" s="13"/>
      <c r="AH27" s="13"/>
      <c r="AI27" s="13"/>
      <c r="AJ27" s="13"/>
      <c r="AK27" s="13"/>
      <c r="AL27" s="13"/>
      <c r="AM27" s="13"/>
      <c r="AN27" s="13"/>
      <c r="AO27" s="13"/>
      <c r="AP27" s="102">
        <f>'ET-luvun Laskenta'!D59+((1-Q112)*Y27/(O27-L112)*M27)^0.91</f>
        <v>22.525777624289262</v>
      </c>
      <c r="AQ27" s="102"/>
      <c r="AR27" s="102">
        <f>IF(AP27&lt;='ET-luvun Laskenta'!D60,AP27,'ET-luvun Laskenta'!D60)</f>
        <v>22.525777624289262</v>
      </c>
      <c r="AS27" s="104">
        <f>(1-Q112)*Y27-(AR27-'ET-luvun Laskenta'!D59)^1.1*(O27-L112)/M27</f>
        <v>-0.060165740413452795</v>
      </c>
      <c r="AT27" s="97">
        <f t="shared" si="9"/>
        <v>-0.085951057733504</v>
      </c>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row>
    <row r="28" spans="1:177" ht="11.25" customHeight="1">
      <c r="A28" s="108"/>
      <c r="B28" s="437" t="s">
        <v>406</v>
      </c>
      <c r="C28" s="690"/>
      <c r="D28" s="690"/>
      <c r="E28" s="690">
        <f>'ET-luvun Laskenta'!I28</f>
        <v>1.5</v>
      </c>
      <c r="F28" s="690"/>
      <c r="G28" s="113">
        <f>C28*E28</f>
        <v>0</v>
      </c>
      <c r="H28" s="114">
        <f t="shared" si="10"/>
        <v>0</v>
      </c>
      <c r="I28" s="844">
        <f>IF(G28=0,"",(H28-G28)/G28*100)</f>
      </c>
      <c r="J28" s="110"/>
      <c r="K28" s="10" t="s">
        <v>189</v>
      </c>
      <c r="L28" s="673">
        <v>1.42</v>
      </c>
      <c r="M28" s="96">
        <f>'ET-luvun Laskenta'!D59-L28</f>
        <v>19.58</v>
      </c>
      <c r="N28" s="97">
        <v>720</v>
      </c>
      <c r="O28" s="98">
        <f>H66/1000*M28*N28+O51</f>
        <v>1540.3843679999995</v>
      </c>
      <c r="P28" s="98">
        <f>0.05/24*'ET-luvun Laskenta'!D62*58.33*N28</f>
        <v>262.485</v>
      </c>
      <c r="Q28" s="98">
        <f>'ET-luvun Laskenta'!U28</f>
        <v>614.3835616438356</v>
      </c>
      <c r="R28" s="98">
        <f>'ET-luvun Laskenta'!V28</f>
        <v>246.5753424657534</v>
      </c>
      <c r="S28" s="98">
        <f>50*'ET-luvun Laskenta'!C28/8760*N28</f>
        <v>821.9178082191781</v>
      </c>
      <c r="T28" s="99">
        <f>'ET-luvun Laskenta'!D62*0.07*N28*0.6</f>
        <v>90.72000000000001</v>
      </c>
      <c r="U28" s="100">
        <f t="shared" si="6"/>
        <v>430.0684931506849</v>
      </c>
      <c r="V28" s="100">
        <f t="shared" si="7"/>
        <v>202.03317123287673</v>
      </c>
      <c r="W28" s="100">
        <f>32*'ET-luvun Laskenta'!C28/8760*N28</f>
        <v>526.0273972602739</v>
      </c>
      <c r="X28" s="674">
        <f>'ET-luvun Laskenta'!D81*(0.72*'ET-luvun Laskenta'!C51*L92+0.55*'ET-luvun Laskenta'!C53*N92+0.65*('ET-luvun Laskenta'!C52*M92+'ET-luvun Laskenta'!C54*O92))</f>
        <v>71.68275000000001</v>
      </c>
      <c r="Y28" s="100">
        <f t="shared" si="2"/>
        <v>1320.5318116438355</v>
      </c>
      <c r="Z28" s="100">
        <f t="shared" si="3"/>
        <v>1315.556031369567</v>
      </c>
      <c r="AA28" s="101">
        <f t="shared" si="4"/>
        <v>839.2118982742679</v>
      </c>
      <c r="AB28" s="792">
        <f t="shared" si="8"/>
        <v>509.0603424657534</v>
      </c>
      <c r="AC28" s="101">
        <f t="shared" si="5"/>
        <v>1348.2722407400213</v>
      </c>
      <c r="AD28" s="13"/>
      <c r="AE28" s="13"/>
      <c r="AF28" s="13"/>
      <c r="AG28" s="13"/>
      <c r="AH28" s="13"/>
      <c r="AI28" s="13"/>
      <c r="AJ28" s="13"/>
      <c r="AK28" s="13"/>
      <c r="AL28" s="13"/>
      <c r="AM28" s="13"/>
      <c r="AN28" s="13"/>
      <c r="AO28" s="13"/>
      <c r="AP28" s="102">
        <f>'ET-luvun Laskenta'!D59+((1-Q113)*Y28/(O28-L113)*M28)^0.91</f>
        <v>21.08228831027806</v>
      </c>
      <c r="AQ28" s="102"/>
      <c r="AR28" s="102">
        <f>IF(AP28&lt;='ET-luvun Laskenta'!D60,AP28,'ET-luvun Laskenta'!D60)</f>
        <v>21.08228831027806</v>
      </c>
      <c r="AS28" s="104">
        <f>(1-Q113)*Y28-(AR28-'ET-luvun Laskenta'!D59)^1.1*(O28-L113)/M28</f>
        <v>0.013637476844754026</v>
      </c>
      <c r="AT28" s="97">
        <f t="shared" si="9"/>
        <v>0.019482109778220038</v>
      </c>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c r="FL28" s="52"/>
      <c r="FM28" s="52"/>
      <c r="FN28" s="52"/>
      <c r="FO28" s="52"/>
      <c r="FP28" s="52"/>
      <c r="FQ28" s="52"/>
      <c r="FR28" s="52"/>
      <c r="FS28" s="52"/>
      <c r="FT28" s="52"/>
      <c r="FU28" s="52"/>
    </row>
    <row r="29" spans="1:177" ht="11.25" customHeight="1">
      <c r="A29" s="108"/>
      <c r="B29" s="169" t="s">
        <v>409</v>
      </c>
      <c r="C29" s="118">
        <f>'ET-luvun Laskenta'!G29</f>
        <v>355</v>
      </c>
      <c r="D29" s="118">
        <f>'ET-luvun Laskenta'!H29</f>
        <v>355</v>
      </c>
      <c r="E29" s="119"/>
      <c r="F29" s="119"/>
      <c r="G29" s="120">
        <f>SUM(G17:G27)</f>
        <v>116.52</v>
      </c>
      <c r="H29" s="121">
        <f>SUM(H17:H27)</f>
        <v>88.22999999999999</v>
      </c>
      <c r="I29" s="843">
        <f>IF(G29=0,"",(H29-G29)/G29*100)</f>
        <v>-24.279093717816693</v>
      </c>
      <c r="J29" s="88"/>
      <c r="K29" s="10" t="s">
        <v>190</v>
      </c>
      <c r="L29" s="673">
        <v>-3.85</v>
      </c>
      <c r="M29" s="96">
        <f>'ET-luvun Laskenta'!D59-L29</f>
        <v>24.85</v>
      </c>
      <c r="N29" s="97">
        <v>744</v>
      </c>
      <c r="O29" s="98">
        <f>H66/1000*M29*N29+O52</f>
        <v>2014.1472519999998</v>
      </c>
      <c r="P29" s="98">
        <f>0.05/24*'ET-luvun Laskenta'!D62*58.33*N29</f>
        <v>271.2345</v>
      </c>
      <c r="Q29" s="98">
        <f>'ET-luvun Laskenta'!U29</f>
        <v>619.8630136986301</v>
      </c>
      <c r="R29" s="98">
        <f>'ET-luvun Laskenta'!V29</f>
        <v>254.79452054794518</v>
      </c>
      <c r="S29" s="98">
        <f>50*'ET-luvun Laskenta'!C28/8760*N29</f>
        <v>849.3150684931508</v>
      </c>
      <c r="T29" s="99">
        <f>'ET-luvun Laskenta'!D62*0.07*N29*0.6</f>
        <v>93.744</v>
      </c>
      <c r="U29" s="100">
        <f t="shared" si="6"/>
        <v>433.904109589041</v>
      </c>
      <c r="V29" s="100">
        <f t="shared" si="7"/>
        <v>208.7676102739726</v>
      </c>
      <c r="W29" s="100">
        <f>32*'ET-luvun Laskenta'!C28/8760*N29</f>
        <v>543.5616438356165</v>
      </c>
      <c r="X29" s="674">
        <f>'ET-luvun Laskenta'!D81*(0.74*'ET-luvun Laskenta'!C51*L93+0.55*'ET-luvun Laskenta'!C53*N93+0.7*('ET-luvun Laskenta'!C52*M93+'ET-luvun Laskenta'!C54*O93))</f>
        <v>82.049175</v>
      </c>
      <c r="Y29" s="100">
        <f t="shared" si="2"/>
        <v>1362.0265386986302</v>
      </c>
      <c r="Z29" s="100">
        <f t="shared" si="3"/>
        <v>1361.991231277247</v>
      </c>
      <c r="AA29" s="101">
        <f t="shared" si="4"/>
        <v>1272.0190344213831</v>
      </c>
      <c r="AB29" s="792">
        <f t="shared" si="8"/>
        <v>526.0290205479453</v>
      </c>
      <c r="AC29" s="101">
        <f t="shared" si="5"/>
        <v>1798.0480549693284</v>
      </c>
      <c r="AD29" s="13"/>
      <c r="AE29" s="13"/>
      <c r="AF29" s="13"/>
      <c r="AG29" s="13"/>
      <c r="AH29" s="13"/>
      <c r="AI29" s="13"/>
      <c r="AJ29" s="13"/>
      <c r="AK29" s="13"/>
      <c r="AL29" s="13"/>
      <c r="AM29" s="13"/>
      <c r="AN29" s="13"/>
      <c r="AO29" s="13"/>
      <c r="AP29" s="102">
        <f>'ET-luvun Laskenta'!D59+((1-Q114)*Y29/(O29-L114)*M29)^0.91</f>
        <v>21.000904129353376</v>
      </c>
      <c r="AQ29" s="102"/>
      <c r="AR29" s="102">
        <f>IF(AP29&lt;='ET-luvun Laskenta'!D60,AP29,'ET-luvun Laskenta'!D60)</f>
        <v>21.000904129353376</v>
      </c>
      <c r="AS29" s="104">
        <f>(1-Q114)*Y29-(AR29-'ET-luvun Laskenta'!D59)^1.1*(O29-L114)/M29</f>
        <v>0.00027088235772514124</v>
      </c>
      <c r="AT29" s="97">
        <f t="shared" si="9"/>
        <v>0.0003869747967502018</v>
      </c>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c r="FT29" s="52"/>
      <c r="FU29" s="52"/>
    </row>
    <row r="30" spans="1:177" ht="11.25" customHeight="1">
      <c r="A30" s="35"/>
      <c r="B30" s="438"/>
      <c r="C30" s="123"/>
      <c r="D30" s="123"/>
      <c r="E30" s="124"/>
      <c r="F30" s="124"/>
      <c r="G30" s="125"/>
      <c r="H30" s="125"/>
      <c r="I30" s="126"/>
      <c r="J30" s="88"/>
      <c r="K30" s="10"/>
      <c r="L30" s="98"/>
      <c r="M30" s="96"/>
      <c r="N30" s="97"/>
      <c r="O30" s="98"/>
      <c r="P30" s="98"/>
      <c r="R30" s="98"/>
      <c r="S30" s="98"/>
      <c r="T30" s="100"/>
      <c r="U30" s="100"/>
      <c r="V30" s="100"/>
      <c r="W30" s="100"/>
      <c r="X30" s="100"/>
      <c r="Y30" s="100"/>
      <c r="Z30" s="100"/>
      <c r="AA30" s="101"/>
      <c r="AB30" s="792"/>
      <c r="AC30" s="101"/>
      <c r="AD30" s="13"/>
      <c r="AE30" s="13"/>
      <c r="AF30" s="13"/>
      <c r="AG30" s="13"/>
      <c r="AH30" s="13"/>
      <c r="AI30" s="13"/>
      <c r="AJ30" s="13"/>
      <c r="AK30" s="13"/>
      <c r="AL30" s="13"/>
      <c r="AM30" s="13"/>
      <c r="AN30" s="13"/>
      <c r="AO30" s="13"/>
      <c r="AP30" s="102"/>
      <c r="AQ30" s="102"/>
      <c r="AR30" s="102"/>
      <c r="AS30" s="102"/>
      <c r="AT30" s="10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row>
    <row r="31" spans="1:177" ht="11.25" customHeight="1">
      <c r="A31" s="108"/>
      <c r="B31" s="436" t="s">
        <v>408</v>
      </c>
      <c r="C31" s="82"/>
      <c r="D31" s="82"/>
      <c r="E31" s="84"/>
      <c r="F31" s="84"/>
      <c r="G31" s="85"/>
      <c r="H31" s="86"/>
      <c r="I31" s="87"/>
      <c r="J31" s="135"/>
      <c r="K31" s="10" t="s">
        <v>163</v>
      </c>
      <c r="L31" s="96">
        <v>4.29</v>
      </c>
      <c r="M31" s="96">
        <f>'ET-luvun Laskenta'!D59-L31</f>
        <v>16.71</v>
      </c>
      <c r="N31" s="97">
        <f aca="true" t="shared" si="11" ref="N31:AB31">SUM(N18:N29)</f>
        <v>8760</v>
      </c>
      <c r="O31" s="136">
        <f>SUM(O18:O29)</f>
        <v>16214.683215199995</v>
      </c>
      <c r="P31" s="136">
        <f>SUM(P18:P29)</f>
        <v>3193.5675000000006</v>
      </c>
      <c r="Q31" s="136">
        <f t="shared" si="11"/>
        <v>5000.000000000001</v>
      </c>
      <c r="R31" s="136">
        <f t="shared" si="11"/>
        <v>2999.9999999999995</v>
      </c>
      <c r="S31" s="136">
        <f>SUM(S18:S29)</f>
        <v>10000.000000000002</v>
      </c>
      <c r="T31" s="100">
        <f>SUM(T18:T29)</f>
        <v>1103.7600000000002</v>
      </c>
      <c r="U31" s="100">
        <f t="shared" si="11"/>
        <v>3499.9999999999995</v>
      </c>
      <c r="V31" s="100">
        <f t="shared" si="11"/>
        <v>2458.0702499999998</v>
      </c>
      <c r="W31" s="100">
        <f t="shared" si="11"/>
        <v>6399.999999999999</v>
      </c>
      <c r="X31" s="100">
        <f t="shared" si="11"/>
        <v>3579.3291150000005</v>
      </c>
      <c r="Y31" s="100">
        <f t="shared" si="11"/>
        <v>17041.159365</v>
      </c>
      <c r="Z31" s="137">
        <f t="shared" si="11"/>
        <v>13445.550775610414</v>
      </c>
      <c r="AA31" s="138">
        <f t="shared" si="11"/>
        <v>7769.1324395895845</v>
      </c>
      <c r="AB31" s="138">
        <f t="shared" si="11"/>
        <v>6193.567500000001</v>
      </c>
      <c r="AC31" s="138">
        <f>SUM(AC18:AC29)</f>
        <v>13962.699939589584</v>
      </c>
      <c r="AD31" s="13"/>
      <c r="AE31" s="13"/>
      <c r="AF31" s="13"/>
      <c r="AG31" s="13"/>
      <c r="AH31" s="13"/>
      <c r="AI31" s="13"/>
      <c r="AJ31" s="13"/>
      <c r="AK31" s="13"/>
      <c r="AL31" s="13"/>
      <c r="AM31" s="13"/>
      <c r="AN31" s="13"/>
      <c r="AO31" s="13"/>
      <c r="AP31" s="102" t="s">
        <v>163</v>
      </c>
      <c r="AQ31" s="102"/>
      <c r="AR31" s="102"/>
      <c r="AS31" s="97">
        <f>SUM(AS18:AS29)</f>
        <v>2323.2644022673844</v>
      </c>
      <c r="AT31" s="97">
        <f t="shared" si="9"/>
        <v>3318.9491460962636</v>
      </c>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row>
    <row r="32" spans="1:177" ht="11.25" customHeight="1">
      <c r="A32" s="108"/>
      <c r="B32" s="267" t="s">
        <v>229</v>
      </c>
      <c r="C32" s="720"/>
      <c r="D32" s="720"/>
      <c r="E32" s="84">
        <v>0.38</v>
      </c>
      <c r="F32" s="721"/>
      <c r="G32" s="91">
        <f aca="true" t="shared" si="12" ref="G32:H34">C32*E32</f>
        <v>0</v>
      </c>
      <c r="H32" s="92">
        <f t="shared" si="12"/>
        <v>0</v>
      </c>
      <c r="I32" s="87">
        <f aca="true" t="shared" si="13" ref="I32:I43">IF(G32=0,"",(H32-G32)/G32*100)</f>
      </c>
      <c r="J32" s="135"/>
      <c r="K32" s="10"/>
      <c r="L32" s="10"/>
      <c r="M32" s="96"/>
      <c r="N32" s="10"/>
      <c r="O32" s="98">
        <f>O31</f>
        <v>16214.683215199995</v>
      </c>
      <c r="P32" s="98">
        <f>O32+P31</f>
        <v>19408.250715199996</v>
      </c>
      <c r="Q32" s="98">
        <f>P32+Q31</f>
        <v>24408.250715199996</v>
      </c>
      <c r="R32" s="98">
        <f>Q32+R31</f>
        <v>27408.250715199996</v>
      </c>
      <c r="S32" s="98">
        <f>R32+S31</f>
        <v>37408.250715199996</v>
      </c>
      <c r="T32" s="93"/>
      <c r="U32" s="93"/>
      <c r="V32" s="93"/>
      <c r="W32" s="93"/>
      <c r="X32" s="100"/>
      <c r="Y32" s="93"/>
      <c r="Z32" s="93"/>
      <c r="AA32" s="10"/>
      <c r="AB32" s="10"/>
      <c r="AC32" s="10"/>
      <c r="AD32" s="13"/>
      <c r="AE32" s="13"/>
      <c r="AF32" s="13"/>
      <c r="AG32" s="13"/>
      <c r="AH32" s="13"/>
      <c r="AI32" s="13"/>
      <c r="AJ32" s="13"/>
      <c r="AK32" s="13"/>
      <c r="AL32" s="13"/>
      <c r="AM32" s="13"/>
      <c r="AN32" s="13"/>
      <c r="AO32" s="13"/>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c r="FN32" s="52"/>
      <c r="FO32" s="52"/>
      <c r="FP32" s="52"/>
      <c r="FQ32" s="52"/>
      <c r="FR32" s="52"/>
      <c r="FS32" s="52"/>
      <c r="FT32" s="52"/>
      <c r="FU32" s="52"/>
    </row>
    <row r="33" spans="1:177" ht="11.25" customHeight="1">
      <c r="A33" s="141"/>
      <c r="B33" s="267" t="s">
        <v>230</v>
      </c>
      <c r="C33" s="713"/>
      <c r="D33" s="720"/>
      <c r="E33" s="84">
        <v>0.38</v>
      </c>
      <c r="F33" s="721"/>
      <c r="G33" s="91">
        <f t="shared" si="12"/>
        <v>0</v>
      </c>
      <c r="H33" s="92">
        <f t="shared" si="12"/>
        <v>0</v>
      </c>
      <c r="I33" s="87">
        <f t="shared" si="13"/>
      </c>
      <c r="J33" s="135"/>
      <c r="K33" s="93"/>
      <c r="L33" s="93"/>
      <c r="M33" s="148"/>
      <c r="N33" s="93"/>
      <c r="O33" s="93"/>
      <c r="P33" s="93"/>
      <c r="Q33" s="93"/>
      <c r="R33" s="93"/>
      <c r="S33" s="13"/>
      <c r="T33" s="166"/>
      <c r="U33" s="150"/>
      <c r="V33" s="150"/>
      <c r="W33" s="167"/>
      <c r="X33" s="93"/>
      <c r="Y33" s="93"/>
      <c r="Z33" s="158"/>
      <c r="AA33" s="149" t="s">
        <v>226</v>
      </c>
      <c r="AB33" s="168" t="s">
        <v>332</v>
      </c>
      <c r="AC33" s="72" t="s">
        <v>223</v>
      </c>
      <c r="AD33" s="13"/>
      <c r="AE33" s="13"/>
      <c r="AF33" s="13"/>
      <c r="AG33" s="13"/>
      <c r="AH33" s="13"/>
      <c r="AI33" s="13"/>
      <c r="AJ33" s="13"/>
      <c r="AK33" s="13"/>
      <c r="AL33" s="13"/>
      <c r="AM33" s="13"/>
      <c r="AN33" s="13"/>
      <c r="AO33" s="13"/>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2"/>
      <c r="FS33" s="52"/>
      <c r="FT33" s="52"/>
      <c r="FU33" s="52"/>
    </row>
    <row r="34" spans="1:177" ht="11.25" customHeight="1">
      <c r="A34" s="108"/>
      <c r="B34" s="267" t="s">
        <v>131</v>
      </c>
      <c r="C34" s="714"/>
      <c r="D34" s="720"/>
      <c r="E34" s="84">
        <v>0.28</v>
      </c>
      <c r="F34" s="721"/>
      <c r="G34" s="91">
        <f t="shared" si="12"/>
        <v>0</v>
      </c>
      <c r="H34" s="92">
        <f t="shared" si="12"/>
        <v>0</v>
      </c>
      <c r="I34" s="87">
        <f t="shared" si="13"/>
      </c>
      <c r="J34" s="135"/>
      <c r="K34" s="150"/>
      <c r="L34" s="150"/>
      <c r="M34" s="157"/>
      <c r="N34" s="150"/>
      <c r="O34" s="150"/>
      <c r="P34" s="150"/>
      <c r="S34" s="150"/>
      <c r="T34" s="10"/>
      <c r="U34" s="10"/>
      <c r="V34" s="10"/>
      <c r="W34" s="167"/>
      <c r="X34" s="93"/>
      <c r="Y34" s="175"/>
      <c r="Z34" s="158"/>
      <c r="AA34" s="149" t="s">
        <v>322</v>
      </c>
      <c r="AB34" s="149" t="s">
        <v>322</v>
      </c>
      <c r="AC34" s="72" t="s">
        <v>354</v>
      </c>
      <c r="AD34" s="150"/>
      <c r="AE34" s="150"/>
      <c r="AF34" s="150"/>
      <c r="AG34" s="150"/>
      <c r="AH34" s="150"/>
      <c r="AI34" s="150"/>
      <c r="AJ34" s="150"/>
      <c r="AK34" s="150"/>
      <c r="AL34" s="150"/>
      <c r="AM34" s="150"/>
      <c r="AN34" s="150"/>
      <c r="AO34" s="150"/>
      <c r="AP34" s="52" t="s">
        <v>604</v>
      </c>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c r="EB34" s="52"/>
      <c r="EC34" s="52"/>
      <c r="ED34" s="52"/>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row>
    <row r="35" spans="1:177" ht="11.25" customHeight="1">
      <c r="A35" s="108"/>
      <c r="B35" s="267" t="s">
        <v>400</v>
      </c>
      <c r="C35" s="715"/>
      <c r="D35" s="715"/>
      <c r="E35" s="84">
        <v>0.28</v>
      </c>
      <c r="F35" s="721"/>
      <c r="G35" s="91">
        <f>C35*E35*0.8</f>
        <v>0</v>
      </c>
      <c r="H35" s="92">
        <f>D35*F35*0.8</f>
        <v>0</v>
      </c>
      <c r="I35" s="87">
        <f t="shared" si="13"/>
      </c>
      <c r="J35" s="135"/>
      <c r="K35" s="164"/>
      <c r="L35" s="664" t="s">
        <v>745</v>
      </c>
      <c r="N35" s="164"/>
      <c r="O35" s="164"/>
      <c r="P35" s="164"/>
      <c r="Q35" s="31"/>
      <c r="R35" s="31"/>
      <c r="S35" s="150"/>
      <c r="T35" s="31"/>
      <c r="U35" s="10"/>
      <c r="V35" s="10"/>
      <c r="W35" s="167"/>
      <c r="X35" s="93"/>
      <c r="Y35" s="13"/>
      <c r="AA35" s="182" t="s">
        <v>196</v>
      </c>
      <c r="AB35" s="182" t="s">
        <v>196</v>
      </c>
      <c r="AC35" s="89" t="s">
        <v>196</v>
      </c>
      <c r="AD35" s="150"/>
      <c r="AE35" s="150"/>
      <c r="AF35" s="150"/>
      <c r="AG35" s="150"/>
      <c r="AH35" s="150"/>
      <c r="AI35" s="150"/>
      <c r="AJ35" s="150"/>
      <c r="AK35" s="150"/>
      <c r="AL35" s="150"/>
      <c r="AM35" s="150"/>
      <c r="AN35" s="150"/>
      <c r="AO35" s="150"/>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52"/>
      <c r="EG35" s="52"/>
      <c r="EH35" s="52"/>
      <c r="EI35" s="52"/>
      <c r="EJ35" s="52"/>
      <c r="EK35" s="52"/>
      <c r="EL35" s="52"/>
      <c r="EM35" s="52"/>
      <c r="EN35" s="52"/>
      <c r="EO35" s="52"/>
      <c r="EP35" s="52"/>
      <c r="EQ35" s="52"/>
      <c r="ER35" s="52"/>
      <c r="ES35" s="52"/>
      <c r="ET35" s="52"/>
      <c r="EU35" s="52"/>
      <c r="EV35" s="52"/>
      <c r="EW35" s="52"/>
      <c r="EX35" s="52"/>
      <c r="EY35" s="52"/>
      <c r="EZ35" s="52"/>
      <c r="FA35" s="52"/>
      <c r="FB35" s="52"/>
      <c r="FC35" s="52"/>
      <c r="FD35" s="52"/>
      <c r="FE35" s="52"/>
      <c r="FF35" s="52"/>
      <c r="FG35" s="52"/>
      <c r="FH35" s="52"/>
      <c r="FI35" s="52"/>
      <c r="FJ35" s="52"/>
      <c r="FK35" s="52"/>
      <c r="FL35" s="52"/>
      <c r="FM35" s="52"/>
      <c r="FN35" s="52"/>
      <c r="FO35" s="52"/>
      <c r="FP35" s="52"/>
      <c r="FQ35" s="52"/>
      <c r="FR35" s="52"/>
      <c r="FS35" s="52"/>
      <c r="FT35" s="52"/>
      <c r="FU35" s="52"/>
    </row>
    <row r="36" spans="1:177" ht="11.25" customHeight="1">
      <c r="A36" s="108"/>
      <c r="B36" s="268" t="s">
        <v>401</v>
      </c>
      <c r="C36" s="716"/>
      <c r="D36" s="716"/>
      <c r="E36" s="85">
        <v>0.34</v>
      </c>
      <c r="F36" s="722"/>
      <c r="G36" s="91">
        <f>C36*E36</f>
        <v>0</v>
      </c>
      <c r="H36" s="92">
        <f>D36*F36</f>
        <v>0</v>
      </c>
      <c r="I36" s="87">
        <f t="shared" si="13"/>
      </c>
      <c r="J36" s="135"/>
      <c r="K36" s="33"/>
      <c r="L36" s="33" t="s">
        <v>744</v>
      </c>
      <c r="M36" s="174"/>
      <c r="N36" s="33" t="s">
        <v>209</v>
      </c>
      <c r="O36" s="33" t="s">
        <v>237</v>
      </c>
      <c r="P36" s="164"/>
      <c r="Q36" s="31"/>
      <c r="R36" s="31"/>
      <c r="S36" s="150"/>
      <c r="T36" s="10"/>
      <c r="U36" s="10"/>
      <c r="V36" s="130"/>
      <c r="X36" s="93"/>
      <c r="Y36" s="166"/>
      <c r="Z36" s="130"/>
      <c r="AA36" s="101"/>
      <c r="AB36" s="101"/>
      <c r="AC36" s="94"/>
      <c r="AD36" s="150"/>
      <c r="AE36" s="150"/>
      <c r="AF36" s="150"/>
      <c r="AG36" s="150"/>
      <c r="AH36" s="150"/>
      <c r="AI36" s="150"/>
      <c r="AJ36" s="150"/>
      <c r="AK36" s="150"/>
      <c r="AL36" s="150"/>
      <c r="AM36" s="150"/>
      <c r="AN36" s="150"/>
      <c r="AO36" s="150"/>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c r="EE36" s="52"/>
      <c r="EF36" s="52"/>
      <c r="EG36" s="52"/>
      <c r="EH36" s="52"/>
      <c r="EI36" s="52"/>
      <c r="EJ36" s="52"/>
      <c r="EK36" s="52"/>
      <c r="EL36" s="52"/>
      <c r="EM36" s="52"/>
      <c r="EN36" s="52"/>
      <c r="EO36" s="52"/>
      <c r="EP36" s="52"/>
      <c r="EQ36" s="52"/>
      <c r="ER36" s="52"/>
      <c r="ES36" s="52"/>
      <c r="ET36" s="52"/>
      <c r="EU36" s="52"/>
      <c r="EV36" s="52"/>
      <c r="EW36" s="52"/>
      <c r="EX36" s="52"/>
      <c r="EY36" s="52"/>
      <c r="EZ36" s="52"/>
      <c r="FA36" s="52"/>
      <c r="FB36" s="52"/>
      <c r="FC36" s="52"/>
      <c r="FD36" s="52"/>
      <c r="FE36" s="52"/>
      <c r="FF36" s="52"/>
      <c r="FG36" s="52"/>
      <c r="FH36" s="52"/>
      <c r="FI36" s="52"/>
      <c r="FJ36" s="52"/>
      <c r="FK36" s="52"/>
      <c r="FL36" s="52"/>
      <c r="FM36" s="52"/>
      <c r="FN36" s="52"/>
      <c r="FO36" s="52"/>
      <c r="FP36" s="52"/>
      <c r="FQ36" s="52"/>
      <c r="FR36" s="52"/>
      <c r="FS36" s="52"/>
      <c r="FT36" s="52"/>
      <c r="FU36" s="52"/>
    </row>
    <row r="37" spans="1:177" ht="11.25" customHeight="1">
      <c r="A37" s="35"/>
      <c r="B37" s="267" t="s">
        <v>316</v>
      </c>
      <c r="C37" s="717"/>
      <c r="D37" s="718"/>
      <c r="E37" s="84">
        <v>1.8</v>
      </c>
      <c r="F37" s="721"/>
      <c r="G37" s="91">
        <f>C37*E37</f>
        <v>0</v>
      </c>
      <c r="H37" s="92"/>
      <c r="I37" s="87">
        <f>IF(G37=0,"",((H38+H39+H40+H41)-G37)/G37*100)</f>
      </c>
      <c r="J37" s="135"/>
      <c r="K37" s="31"/>
      <c r="L37" s="33" t="s">
        <v>191</v>
      </c>
      <c r="M37" s="96" t="s">
        <v>201</v>
      </c>
      <c r="N37" s="70" t="s">
        <v>194</v>
      </c>
      <c r="O37" s="33" t="s">
        <v>198</v>
      </c>
      <c r="P37" s="164"/>
      <c r="Q37" s="31"/>
      <c r="R37" s="31"/>
      <c r="S37" s="150"/>
      <c r="T37" s="10"/>
      <c r="U37" s="10"/>
      <c r="V37" s="10"/>
      <c r="W37" s="97"/>
      <c r="X37" s="93"/>
      <c r="Y37" s="13"/>
      <c r="Z37" s="10"/>
      <c r="AA37" s="101">
        <f>AA18/'ET-luvun Laskenta'!D109</f>
        <v>411.78490969254295</v>
      </c>
      <c r="AB37" s="101">
        <f>AB18/'ET-luvun Laskenta'!D109</f>
        <v>131.50725513698632</v>
      </c>
      <c r="AC37" s="101">
        <f>AC18/'ET-luvun Laskenta'!D109</f>
        <v>543.2921648295293</v>
      </c>
      <c r="AD37" s="150"/>
      <c r="AE37" s="150"/>
      <c r="AF37" s="150"/>
      <c r="AG37" s="150"/>
      <c r="AH37" s="150"/>
      <c r="AI37" s="150"/>
      <c r="AJ37" s="150"/>
      <c r="AK37" s="150"/>
      <c r="AL37" s="150"/>
      <c r="AM37" s="150"/>
      <c r="AN37" s="150"/>
      <c r="AO37" s="150"/>
      <c r="AP37" s="52" t="s">
        <v>21</v>
      </c>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c r="EB37" s="52"/>
      <c r="EC37" s="52"/>
      <c r="ED37" s="52"/>
      <c r="EE37" s="52"/>
      <c r="EF37" s="52"/>
      <c r="EG37" s="52"/>
      <c r="EH37" s="52"/>
      <c r="EI37" s="52"/>
      <c r="EJ37" s="52"/>
      <c r="EK37" s="52"/>
      <c r="EL37" s="52"/>
      <c r="EM37" s="52"/>
      <c r="EN37" s="52"/>
      <c r="EO37" s="52"/>
      <c r="EP37" s="52"/>
      <c r="EQ37" s="52"/>
      <c r="ER37" s="52"/>
      <c r="ES37" s="52"/>
      <c r="ET37" s="52"/>
      <c r="EU37" s="52"/>
      <c r="EV37" s="52"/>
      <c r="EW37" s="52"/>
      <c r="EX37" s="52"/>
      <c r="EY37" s="52"/>
      <c r="EZ37" s="52"/>
      <c r="FA37" s="52"/>
      <c r="FB37" s="52"/>
      <c r="FC37" s="52"/>
      <c r="FD37" s="52"/>
      <c r="FE37" s="52"/>
      <c r="FF37" s="52"/>
      <c r="FG37" s="52"/>
      <c r="FH37" s="52"/>
      <c r="FI37" s="52"/>
      <c r="FJ37" s="52"/>
      <c r="FK37" s="52"/>
      <c r="FL37" s="52"/>
      <c r="FM37" s="52"/>
      <c r="FN37" s="52"/>
      <c r="FO37" s="52"/>
      <c r="FP37" s="52"/>
      <c r="FQ37" s="52"/>
      <c r="FR37" s="52"/>
      <c r="FS37" s="52"/>
      <c r="FT37" s="52"/>
      <c r="FU37" s="52"/>
    </row>
    <row r="38" spans="1:177" ht="11.25" customHeight="1">
      <c r="A38" s="108"/>
      <c r="B38" s="267" t="s">
        <v>287</v>
      </c>
      <c r="C38" s="82"/>
      <c r="D38" s="718"/>
      <c r="E38" s="84">
        <v>1.8</v>
      </c>
      <c r="F38" s="721"/>
      <c r="G38" s="91"/>
      <c r="H38" s="92">
        <f aca="true" t="shared" si="14" ref="H38:H43">D38*F38</f>
        <v>0</v>
      </c>
      <c r="I38" s="87"/>
      <c r="J38" s="135"/>
      <c r="K38" s="33"/>
      <c r="L38" s="33" t="s">
        <v>192</v>
      </c>
      <c r="M38" s="184"/>
      <c r="N38" s="70"/>
      <c r="P38" s="8"/>
      <c r="Q38" s="31"/>
      <c r="R38" s="31"/>
      <c r="T38" s="10"/>
      <c r="U38" s="194"/>
      <c r="V38" s="195"/>
      <c r="W38" s="97"/>
      <c r="X38" s="93"/>
      <c r="Y38" s="167"/>
      <c r="Z38" s="167"/>
      <c r="AA38" s="101">
        <f>AA19/'ET-luvun Laskenta'!D109</f>
        <v>319.42408612797396</v>
      </c>
      <c r="AB38" s="101">
        <f>AB19/'ET-luvun Laskenta'!D109</f>
        <v>118.78074657534248</v>
      </c>
      <c r="AC38" s="101">
        <f>AC19/'ET-luvun Laskenta'!D109</f>
        <v>438.20483270331647</v>
      </c>
      <c r="AP38" s="52" t="s">
        <v>98</v>
      </c>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c r="BR38" s="52"/>
      <c r="BS38" s="52"/>
      <c r="BT38" s="52"/>
      <c r="BU38" s="52"/>
      <c r="BV38" s="52"/>
      <c r="BW38" s="52"/>
      <c r="BX38" s="52"/>
      <c r="BY38" s="52"/>
      <c r="BZ38" s="52"/>
      <c r="CA38" s="52"/>
      <c r="CB38" s="52"/>
      <c r="CC38" s="52"/>
      <c r="CD38" s="52"/>
      <c r="CE38" s="52"/>
      <c r="CF38" s="52"/>
      <c r="CG38" s="52"/>
      <c r="CH38" s="52"/>
      <c r="CI38" s="52"/>
      <c r="CJ38" s="52"/>
      <c r="CK38" s="52"/>
      <c r="CL38" s="52"/>
      <c r="CM38" s="52"/>
      <c r="CN38" s="52"/>
      <c r="CO38" s="52"/>
      <c r="CP38" s="52"/>
      <c r="CQ38" s="52"/>
      <c r="CR38" s="52"/>
      <c r="CS38" s="52"/>
      <c r="CT38" s="52"/>
      <c r="CU38" s="52"/>
      <c r="CV38" s="52"/>
      <c r="CW38" s="52"/>
      <c r="CX38" s="52"/>
      <c r="CY38" s="52"/>
      <c r="CZ38" s="52"/>
      <c r="DA38" s="52"/>
      <c r="DB38" s="52"/>
      <c r="DC38" s="52"/>
      <c r="DD38" s="52"/>
      <c r="DE38" s="52"/>
      <c r="DF38" s="52"/>
      <c r="DG38" s="52"/>
      <c r="DH38" s="52"/>
      <c r="DI38" s="52"/>
      <c r="DJ38" s="52"/>
      <c r="DK38" s="52"/>
      <c r="DL38" s="52"/>
      <c r="DM38" s="52"/>
      <c r="DN38" s="52"/>
      <c r="DO38" s="52"/>
      <c r="DP38" s="52"/>
      <c r="DQ38" s="52"/>
      <c r="DR38" s="52"/>
      <c r="DS38" s="52"/>
      <c r="DT38" s="52"/>
      <c r="DU38" s="52"/>
      <c r="DV38" s="52"/>
      <c r="DW38" s="52"/>
      <c r="DX38" s="52"/>
      <c r="DY38" s="52"/>
      <c r="DZ38" s="52"/>
      <c r="EA38" s="52"/>
      <c r="EB38" s="52"/>
      <c r="EC38" s="52"/>
      <c r="ED38" s="52"/>
      <c r="EE38" s="52"/>
      <c r="EF38" s="52"/>
      <c r="EG38" s="52"/>
      <c r="EH38" s="52"/>
      <c r="EI38" s="52"/>
      <c r="EJ38" s="52"/>
      <c r="EK38" s="52"/>
      <c r="EL38" s="52"/>
      <c r="EM38" s="52"/>
      <c r="EN38" s="52"/>
      <c r="EO38" s="52"/>
      <c r="EP38" s="52"/>
      <c r="EQ38" s="52"/>
      <c r="ER38" s="52"/>
      <c r="ES38" s="52"/>
      <c r="ET38" s="52"/>
      <c r="EU38" s="52"/>
      <c r="EV38" s="52"/>
      <c r="EW38" s="52"/>
      <c r="EX38" s="52"/>
      <c r="EY38" s="52"/>
      <c r="EZ38" s="52"/>
      <c r="FA38" s="52"/>
      <c r="FB38" s="52"/>
      <c r="FC38" s="52"/>
      <c r="FD38" s="52"/>
      <c r="FE38" s="52"/>
      <c r="FF38" s="52"/>
      <c r="FG38" s="52"/>
      <c r="FH38" s="52"/>
      <c r="FI38" s="52"/>
      <c r="FJ38" s="52"/>
      <c r="FK38" s="52"/>
      <c r="FL38" s="52"/>
      <c r="FM38" s="52"/>
      <c r="FN38" s="52"/>
      <c r="FO38" s="52"/>
      <c r="FP38" s="52"/>
      <c r="FQ38" s="52"/>
      <c r="FR38" s="52"/>
      <c r="FS38" s="52"/>
      <c r="FT38" s="52"/>
      <c r="FU38" s="52"/>
    </row>
    <row r="39" spans="1:177" ht="11.25" customHeight="1">
      <c r="A39" s="108"/>
      <c r="B39" s="267" t="s">
        <v>289</v>
      </c>
      <c r="C39" s="113"/>
      <c r="D39" s="718"/>
      <c r="E39" s="84">
        <v>1.8</v>
      </c>
      <c r="F39" s="721"/>
      <c r="G39" s="91"/>
      <c r="H39" s="92">
        <f t="shared" si="14"/>
        <v>0</v>
      </c>
      <c r="I39" s="87"/>
      <c r="J39" s="88"/>
      <c r="K39" s="33"/>
      <c r="L39" s="70" t="s">
        <v>248</v>
      </c>
      <c r="M39" s="184" t="s">
        <v>250</v>
      </c>
      <c r="N39" s="70" t="s">
        <v>195</v>
      </c>
      <c r="O39" s="33" t="s">
        <v>196</v>
      </c>
      <c r="P39" s="191"/>
      <c r="Q39" s="191"/>
      <c r="R39" s="191"/>
      <c r="S39" s="130"/>
      <c r="T39" s="199"/>
      <c r="U39" s="167"/>
      <c r="V39" s="200"/>
      <c r="W39" s="97"/>
      <c r="X39" s="93"/>
      <c r="Y39" s="167"/>
      <c r="Z39" s="167"/>
      <c r="AA39" s="101">
        <f>AA20/'ET-luvun Laskenta'!D109</f>
        <v>154.58323392760144</v>
      </c>
      <c r="AB39" s="101">
        <f>AB20/'ET-luvun Laskenta'!D109</f>
        <v>131.50725513698632</v>
      </c>
      <c r="AC39" s="101">
        <f>AC20/'ET-luvun Laskenta'!D109</f>
        <v>286.09048906458776</v>
      </c>
      <c r="AD39" s="130"/>
      <c r="AE39" s="130"/>
      <c r="AF39" s="130"/>
      <c r="AG39" s="130"/>
      <c r="AH39" s="130"/>
      <c r="AI39" s="130"/>
      <c r="AJ39" s="130"/>
      <c r="AK39" s="130"/>
      <c r="AL39" s="130"/>
      <c r="AM39" s="130"/>
      <c r="AN39" s="130"/>
      <c r="AO39" s="130"/>
      <c r="AP39" s="52" t="s">
        <v>22</v>
      </c>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2"/>
      <c r="BU39" s="52"/>
      <c r="BV39" s="52"/>
      <c r="BW39" s="52"/>
      <c r="BX39" s="52"/>
      <c r="BY39" s="52"/>
      <c r="BZ39" s="52"/>
      <c r="CA39" s="52"/>
      <c r="CB39" s="52"/>
      <c r="CC39" s="52"/>
      <c r="CD39" s="52"/>
      <c r="CE39" s="52"/>
      <c r="CF39" s="52"/>
      <c r="CG39" s="52"/>
      <c r="CH39" s="52"/>
      <c r="CI39" s="52"/>
      <c r="CJ39" s="52"/>
      <c r="CK39" s="52"/>
      <c r="CL39" s="52"/>
      <c r="CM39" s="52"/>
      <c r="CN39" s="52"/>
      <c r="CO39" s="52"/>
      <c r="CP39" s="52"/>
      <c r="CQ39" s="52"/>
      <c r="CR39" s="52"/>
      <c r="CS39" s="52"/>
      <c r="CT39" s="52"/>
      <c r="CU39" s="52"/>
      <c r="CV39" s="52"/>
      <c r="CW39" s="52"/>
      <c r="CX39" s="52"/>
      <c r="CY39" s="52"/>
      <c r="CZ39" s="52"/>
      <c r="DA39" s="52"/>
      <c r="DB39" s="52"/>
      <c r="DC39" s="52"/>
      <c r="DD39" s="52"/>
      <c r="DE39" s="52"/>
      <c r="DF39" s="52"/>
      <c r="DG39" s="52"/>
      <c r="DH39" s="52"/>
      <c r="DI39" s="52"/>
      <c r="DJ39" s="52"/>
      <c r="DK39" s="52"/>
      <c r="DL39" s="52"/>
      <c r="DM39" s="52"/>
      <c r="DN39" s="52"/>
      <c r="DO39" s="52"/>
      <c r="DP39" s="52"/>
      <c r="DQ39" s="52"/>
      <c r="DR39" s="52"/>
      <c r="DS39" s="52"/>
      <c r="DT39" s="52"/>
      <c r="DU39" s="52"/>
      <c r="DV39" s="52"/>
      <c r="DW39" s="52"/>
      <c r="DX39" s="52"/>
      <c r="DY39" s="52"/>
      <c r="DZ39" s="52"/>
      <c r="EA39" s="52"/>
      <c r="EB39" s="52"/>
      <c r="EC39" s="52"/>
      <c r="ED39" s="52"/>
      <c r="EE39" s="52"/>
      <c r="EF39" s="52"/>
      <c r="EG39" s="52"/>
      <c r="EH39" s="52"/>
      <c r="EI39" s="52"/>
      <c r="EJ39" s="52"/>
      <c r="EK39" s="52"/>
      <c r="EL39" s="52"/>
      <c r="EM39" s="52"/>
      <c r="EN39" s="52"/>
      <c r="EO39" s="52"/>
      <c r="EP39" s="52"/>
      <c r="EQ39" s="52"/>
      <c r="ER39" s="52"/>
      <c r="ES39" s="52"/>
      <c r="ET39" s="52"/>
      <c r="EU39" s="52"/>
      <c r="EV39" s="52"/>
      <c r="EW39" s="52"/>
      <c r="EX39" s="52"/>
      <c r="EY39" s="52"/>
      <c r="EZ39" s="52"/>
      <c r="FA39" s="52"/>
      <c r="FB39" s="52"/>
      <c r="FC39" s="52"/>
      <c r="FD39" s="52"/>
      <c r="FE39" s="52"/>
      <c r="FF39" s="52"/>
      <c r="FG39" s="52"/>
      <c r="FH39" s="52"/>
      <c r="FI39" s="52"/>
      <c r="FJ39" s="52"/>
      <c r="FK39" s="52"/>
      <c r="FL39" s="52"/>
      <c r="FM39" s="52"/>
      <c r="FN39" s="52"/>
      <c r="FO39" s="52"/>
      <c r="FP39" s="52"/>
      <c r="FQ39" s="52"/>
      <c r="FR39" s="52"/>
      <c r="FS39" s="52"/>
      <c r="FT39" s="52"/>
      <c r="FU39" s="52"/>
    </row>
    <row r="40" spans="1:177" ht="11.25" customHeight="1">
      <c r="A40" s="108"/>
      <c r="B40" s="267" t="s">
        <v>288</v>
      </c>
      <c r="C40" s="82"/>
      <c r="D40" s="718"/>
      <c r="E40" s="84">
        <v>1.8</v>
      </c>
      <c r="F40" s="721"/>
      <c r="G40" s="91"/>
      <c r="H40" s="92">
        <f t="shared" si="14"/>
        <v>0</v>
      </c>
      <c r="I40" s="87"/>
      <c r="J40" s="135"/>
      <c r="K40" s="10"/>
      <c r="L40" s="10"/>
      <c r="M40" s="96"/>
      <c r="N40" s="13"/>
      <c r="O40" s="10"/>
      <c r="P40" s="10"/>
      <c r="S40" s="10"/>
      <c r="T40" s="13"/>
      <c r="U40" s="13"/>
      <c r="V40" s="194"/>
      <c r="W40" s="97"/>
      <c r="X40" s="203"/>
      <c r="Y40" s="13"/>
      <c r="Z40" s="13"/>
      <c r="AA40" s="101">
        <f>AA21/'ET-luvun Laskenta'!D109</f>
        <v>121.8360821414235</v>
      </c>
      <c r="AB40" s="101">
        <f>AB21/'ET-luvun Laskenta'!D109</f>
        <v>127.26508561643836</v>
      </c>
      <c r="AC40" s="101">
        <f>AC21/'ET-luvun Laskenta'!D109</f>
        <v>249.10116775786184</v>
      </c>
      <c r="AD40" s="10"/>
      <c r="AE40" s="10"/>
      <c r="AF40" s="10"/>
      <c r="AG40" s="10"/>
      <c r="AH40" s="10"/>
      <c r="AI40" s="10"/>
      <c r="AJ40" s="10"/>
      <c r="AK40" s="10"/>
      <c r="AL40" s="10"/>
      <c r="AM40" s="10"/>
      <c r="AN40" s="10"/>
      <c r="AO40" s="10"/>
      <c r="AP40" s="52" t="s">
        <v>23</v>
      </c>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52"/>
      <c r="BS40" s="52"/>
      <c r="BT40" s="52"/>
      <c r="BU40" s="52"/>
      <c r="BV40" s="52"/>
      <c r="BW40" s="52"/>
      <c r="BX40" s="52"/>
      <c r="BY40" s="52"/>
      <c r="BZ40" s="52"/>
      <c r="CA40" s="52"/>
      <c r="CB40" s="52"/>
      <c r="CC40" s="52"/>
      <c r="CD40" s="52"/>
      <c r="CE40" s="52"/>
      <c r="CF40" s="52"/>
      <c r="CG40" s="52"/>
      <c r="CH40" s="52"/>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52"/>
      <c r="DP40" s="52"/>
      <c r="DQ40" s="52"/>
      <c r="DR40" s="52"/>
      <c r="DS40" s="52"/>
      <c r="DT40" s="52"/>
      <c r="DU40" s="52"/>
      <c r="DV40" s="52"/>
      <c r="DW40" s="52"/>
      <c r="DX40" s="52"/>
      <c r="DY40" s="52"/>
      <c r="DZ40" s="52"/>
      <c r="EA40" s="52"/>
      <c r="EB40" s="52"/>
      <c r="EC40" s="52"/>
      <c r="ED40" s="52"/>
      <c r="EE40" s="52"/>
      <c r="EF40" s="52"/>
      <c r="EG40" s="52"/>
      <c r="EH40" s="52"/>
      <c r="EI40" s="52"/>
      <c r="EJ40" s="52"/>
      <c r="EK40" s="52"/>
      <c r="EL40" s="52"/>
      <c r="EM40" s="52"/>
      <c r="EN40" s="52"/>
      <c r="EO40" s="52"/>
      <c r="EP40" s="52"/>
      <c r="EQ40" s="52"/>
      <c r="ER40" s="52"/>
      <c r="ES40" s="52"/>
      <c r="ET40" s="52"/>
      <c r="EU40" s="52"/>
      <c r="EV40" s="52"/>
      <c r="EW40" s="52"/>
      <c r="EX40" s="52"/>
      <c r="EY40" s="52"/>
      <c r="EZ40" s="52"/>
      <c r="FA40" s="52"/>
      <c r="FB40" s="52"/>
      <c r="FC40" s="52"/>
      <c r="FD40" s="52"/>
      <c r="FE40" s="52"/>
      <c r="FF40" s="52"/>
      <c r="FG40" s="52"/>
      <c r="FH40" s="52"/>
      <c r="FI40" s="52"/>
      <c r="FJ40" s="52"/>
      <c r="FK40" s="52"/>
      <c r="FL40" s="52"/>
      <c r="FM40" s="52"/>
      <c r="FN40" s="52"/>
      <c r="FO40" s="52"/>
      <c r="FP40" s="52"/>
      <c r="FQ40" s="52"/>
      <c r="FR40" s="52"/>
      <c r="FS40" s="52"/>
      <c r="FT40" s="52"/>
      <c r="FU40" s="52"/>
    </row>
    <row r="41" spans="1:177" ht="11.25" customHeight="1">
      <c r="A41" s="108"/>
      <c r="B41" s="267" t="s">
        <v>290</v>
      </c>
      <c r="C41" s="113"/>
      <c r="D41" s="718"/>
      <c r="E41" s="84">
        <v>1.8</v>
      </c>
      <c r="F41" s="721"/>
      <c r="G41" s="113"/>
      <c r="H41" s="92">
        <f t="shared" si="14"/>
        <v>0</v>
      </c>
      <c r="I41" s="87"/>
      <c r="J41" s="135"/>
      <c r="K41" s="10" t="s">
        <v>179</v>
      </c>
      <c r="L41" s="678">
        <f>L31+'ET-luvun Laskenta'!D87</f>
        <v>9.29</v>
      </c>
      <c r="M41" s="96">
        <f>'ET-luvun Laskenta'!D59-L41</f>
        <v>11.71</v>
      </c>
      <c r="N41" s="97">
        <v>744</v>
      </c>
      <c r="O41" s="98">
        <f>H65/1000*M41*N41</f>
        <v>52.27344</v>
      </c>
      <c r="P41" s="167"/>
      <c r="Q41" s="195"/>
      <c r="R41" s="195"/>
      <c r="S41" s="167"/>
      <c r="T41" s="10"/>
      <c r="U41" s="194"/>
      <c r="V41" s="194"/>
      <c r="W41" s="97"/>
      <c r="X41" s="93"/>
      <c r="Y41" s="13"/>
      <c r="Z41" s="13"/>
      <c r="AA41" s="101">
        <f>AA22/'ET-luvun Laskenta'!D109</f>
        <v>79.96711165895297</v>
      </c>
      <c r="AB41" s="101">
        <f>AB22/'ET-luvun Laskenta'!D109</f>
        <v>131.50725513698632</v>
      </c>
      <c r="AC41" s="101">
        <f>AC22/'ET-luvun Laskenta'!D109</f>
        <v>211.47436679593926</v>
      </c>
      <c r="AD41" s="167"/>
      <c r="AE41" s="167"/>
      <c r="AF41" s="167"/>
      <c r="AG41" s="167"/>
      <c r="AH41" s="167"/>
      <c r="AI41" s="167"/>
      <c r="AJ41" s="167"/>
      <c r="AK41" s="167"/>
      <c r="AL41" s="167"/>
      <c r="AM41" s="167"/>
      <c r="AN41" s="167"/>
      <c r="AO41" s="167"/>
      <c r="AP41" s="52" t="s">
        <v>24</v>
      </c>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2"/>
      <c r="BR41" s="52"/>
      <c r="BS41" s="52"/>
      <c r="BT41" s="52"/>
      <c r="BU41" s="52"/>
      <c r="BV41" s="52"/>
      <c r="BW41" s="52"/>
      <c r="BX41" s="52"/>
      <c r="BY41" s="52"/>
      <c r="BZ41" s="52"/>
      <c r="CA41" s="52"/>
      <c r="CB41" s="52"/>
      <c r="CC41" s="52"/>
      <c r="CD41" s="52"/>
      <c r="CE41" s="52"/>
      <c r="CF41" s="52"/>
      <c r="CG41" s="52"/>
      <c r="CH41" s="52"/>
      <c r="CI41" s="52"/>
      <c r="CJ41" s="52"/>
      <c r="CK41" s="52"/>
      <c r="CL41" s="52"/>
      <c r="CM41" s="52"/>
      <c r="CN41" s="52"/>
      <c r="CO41" s="52"/>
      <c r="CP41" s="52"/>
      <c r="CQ41" s="52"/>
      <c r="CR41" s="52"/>
      <c r="CS41" s="52"/>
      <c r="CT41" s="52"/>
      <c r="CU41" s="52"/>
      <c r="CV41" s="52"/>
      <c r="CW41" s="52"/>
      <c r="CX41" s="52"/>
      <c r="CY41" s="52"/>
      <c r="CZ41" s="52"/>
      <c r="DA41" s="52"/>
      <c r="DB41" s="52"/>
      <c r="DC41" s="52"/>
      <c r="DD41" s="52"/>
      <c r="DE41" s="52"/>
      <c r="DF41" s="52"/>
      <c r="DG41" s="52"/>
      <c r="DH41" s="52"/>
      <c r="DI41" s="52"/>
      <c r="DJ41" s="52"/>
      <c r="DK41" s="52"/>
      <c r="DL41" s="52"/>
      <c r="DM41" s="52"/>
      <c r="DN41" s="52"/>
      <c r="DO41" s="52"/>
      <c r="DP41" s="52"/>
      <c r="DQ41" s="52"/>
      <c r="DR41" s="52"/>
      <c r="DS41" s="52"/>
      <c r="DT41" s="52"/>
      <c r="DU41" s="52"/>
      <c r="DV41" s="52"/>
      <c r="DW41" s="52"/>
      <c r="DX41" s="52"/>
      <c r="DY41" s="52"/>
      <c r="DZ41" s="52"/>
      <c r="EA41" s="52"/>
      <c r="EB41" s="52"/>
      <c r="EC41" s="52"/>
      <c r="ED41" s="52"/>
      <c r="EE41" s="52"/>
      <c r="EF41" s="52"/>
      <c r="EG41" s="52"/>
      <c r="EH41" s="52"/>
      <c r="EI41" s="52"/>
      <c r="EJ41" s="52"/>
      <c r="EK41" s="52"/>
      <c r="EL41" s="52"/>
      <c r="EM41" s="52"/>
      <c r="EN41" s="52"/>
      <c r="EO41" s="52"/>
      <c r="EP41" s="52"/>
      <c r="EQ41" s="52"/>
      <c r="ER41" s="52"/>
      <c r="ES41" s="52"/>
      <c r="ET41" s="52"/>
      <c r="EU41" s="52"/>
      <c r="EV41" s="52"/>
      <c r="EW41" s="52"/>
      <c r="EX41" s="52"/>
      <c r="EY41" s="52"/>
      <c r="EZ41" s="52"/>
      <c r="FA41" s="52"/>
      <c r="FB41" s="52"/>
      <c r="FC41" s="52"/>
      <c r="FD41" s="52"/>
      <c r="FE41" s="52"/>
      <c r="FF41" s="52"/>
      <c r="FG41" s="52"/>
      <c r="FH41" s="52"/>
      <c r="FI41" s="52"/>
      <c r="FJ41" s="52"/>
      <c r="FK41" s="52"/>
      <c r="FL41" s="52"/>
      <c r="FM41" s="52"/>
      <c r="FN41" s="52"/>
      <c r="FO41" s="52"/>
      <c r="FP41" s="52"/>
      <c r="FQ41" s="52"/>
      <c r="FR41" s="52"/>
      <c r="FS41" s="52"/>
      <c r="FT41" s="52"/>
      <c r="FU41" s="52"/>
    </row>
    <row r="42" spans="1:177" ht="11.25" customHeight="1">
      <c r="A42" s="109"/>
      <c r="B42" s="267" t="s">
        <v>123</v>
      </c>
      <c r="C42" s="718"/>
      <c r="D42" s="718"/>
      <c r="E42" s="84">
        <v>1.8</v>
      </c>
      <c r="F42" s="721"/>
      <c r="G42" s="113">
        <f>C42*E42</f>
        <v>0</v>
      </c>
      <c r="H42" s="114">
        <f t="shared" si="14"/>
        <v>0</v>
      </c>
      <c r="I42" s="87">
        <f t="shared" si="13"/>
      </c>
      <c r="J42" s="135"/>
      <c r="K42" s="10" t="s">
        <v>180</v>
      </c>
      <c r="L42" s="678">
        <f>$L$41-1</f>
        <v>8.29</v>
      </c>
      <c r="M42" s="96">
        <f>'ET-luvun Laskenta'!D59-L42</f>
        <v>12.71</v>
      </c>
      <c r="N42" s="97">
        <v>672</v>
      </c>
      <c r="O42" s="98">
        <f>H65/1000*M42*N42</f>
        <v>51.24672</v>
      </c>
      <c r="P42" s="167"/>
      <c r="Q42" s="195"/>
      <c r="R42" s="195"/>
      <c r="S42" s="167"/>
      <c r="T42" s="10"/>
      <c r="U42" s="194"/>
      <c r="V42" s="194"/>
      <c r="W42" s="97"/>
      <c r="X42" s="93"/>
      <c r="Y42" s="13"/>
      <c r="Z42" s="13"/>
      <c r="AA42" s="101">
        <f>AA23/'ET-luvun Laskenta'!D109</f>
        <v>41.095890413844145</v>
      </c>
      <c r="AB42" s="101">
        <f>AB23/'ET-luvun Laskenta'!D109</f>
        <v>127.26508561643836</v>
      </c>
      <c r="AC42" s="101">
        <f>AC23/'ET-luvun Laskenta'!D109</f>
        <v>168.3609760302825</v>
      </c>
      <c r="AD42" s="167"/>
      <c r="AE42" s="167"/>
      <c r="AF42" s="167"/>
      <c r="AG42" s="167"/>
      <c r="AH42" s="167"/>
      <c r="AI42" s="167"/>
      <c r="AJ42" s="167"/>
      <c r="AK42" s="167"/>
      <c r="AL42" s="167"/>
      <c r="AM42" s="167"/>
      <c r="AN42" s="167"/>
      <c r="AO42" s="167"/>
      <c r="AP42" s="199" t="s">
        <v>25</v>
      </c>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2"/>
      <c r="BR42" s="52"/>
      <c r="BS42" s="52"/>
      <c r="BT42" s="52"/>
      <c r="BU42" s="52"/>
      <c r="BV42" s="52"/>
      <c r="BW42" s="52"/>
      <c r="BX42" s="52"/>
      <c r="BY42" s="52"/>
      <c r="BZ42" s="52"/>
      <c r="CA42" s="52"/>
      <c r="CB42" s="52"/>
      <c r="CC42" s="52"/>
      <c r="CD42" s="52"/>
      <c r="CE42" s="52"/>
      <c r="CF42" s="52"/>
      <c r="CG42" s="52"/>
      <c r="CH42" s="52"/>
      <c r="CI42" s="52"/>
      <c r="CJ42" s="52"/>
      <c r="CK42" s="52"/>
      <c r="CL42" s="52"/>
      <c r="CM42" s="52"/>
      <c r="CN42" s="52"/>
      <c r="CO42" s="52"/>
      <c r="CP42" s="52"/>
      <c r="CQ42" s="52"/>
      <c r="CR42" s="52"/>
      <c r="CS42" s="52"/>
      <c r="CT42" s="52"/>
      <c r="CU42" s="52"/>
      <c r="CV42" s="52"/>
      <c r="CW42" s="52"/>
      <c r="CX42" s="52"/>
      <c r="CY42" s="52"/>
      <c r="CZ42" s="52"/>
      <c r="DA42" s="52"/>
      <c r="DB42" s="52"/>
      <c r="DC42" s="52"/>
      <c r="DD42" s="52"/>
      <c r="DE42" s="52"/>
      <c r="DF42" s="52"/>
      <c r="DG42" s="52"/>
      <c r="DH42" s="52"/>
      <c r="DI42" s="52"/>
      <c r="DJ42" s="52"/>
      <c r="DK42" s="52"/>
      <c r="DL42" s="52"/>
      <c r="DM42" s="52"/>
      <c r="DN42" s="52"/>
      <c r="DO42" s="52"/>
      <c r="DP42" s="52"/>
      <c r="DQ42" s="52"/>
      <c r="DR42" s="52"/>
      <c r="DS42" s="52"/>
      <c r="DT42" s="52"/>
      <c r="DU42" s="52"/>
      <c r="DV42" s="52"/>
      <c r="DW42" s="52"/>
      <c r="DX42" s="52"/>
      <c r="DY42" s="52"/>
      <c r="DZ42" s="52"/>
      <c r="EA42" s="52"/>
      <c r="EB42" s="52"/>
      <c r="EC42" s="52"/>
      <c r="ED42" s="52"/>
      <c r="EE42" s="52"/>
      <c r="EF42" s="52"/>
      <c r="EG42" s="52"/>
      <c r="EH42" s="52"/>
      <c r="EI42" s="52"/>
      <c r="EJ42" s="52"/>
      <c r="EK42" s="52"/>
      <c r="EL42" s="52"/>
      <c r="EM42" s="52"/>
      <c r="EN42" s="52"/>
      <c r="EO42" s="52"/>
      <c r="EP42" s="52"/>
      <c r="EQ42" s="52"/>
      <c r="ER42" s="52"/>
      <c r="ES42" s="52"/>
      <c r="ET42" s="52"/>
      <c r="EU42" s="52"/>
      <c r="EV42" s="52"/>
      <c r="EW42" s="52"/>
      <c r="EX42" s="52"/>
      <c r="EY42" s="52"/>
      <c r="EZ42" s="52"/>
      <c r="FA42" s="52"/>
      <c r="FB42" s="52"/>
      <c r="FC42" s="52"/>
      <c r="FD42" s="52"/>
      <c r="FE42" s="52"/>
      <c r="FF42" s="52"/>
      <c r="FG42" s="52"/>
      <c r="FH42" s="52"/>
      <c r="FI42" s="52"/>
      <c r="FJ42" s="52"/>
      <c r="FK42" s="52"/>
      <c r="FL42" s="52"/>
      <c r="FM42" s="52"/>
      <c r="FN42" s="52"/>
      <c r="FO42" s="52"/>
      <c r="FP42" s="52"/>
      <c r="FQ42" s="52"/>
      <c r="FR42" s="52"/>
      <c r="FS42" s="52"/>
      <c r="FT42" s="52"/>
      <c r="FU42" s="52"/>
    </row>
    <row r="43" spans="1:177" ht="11.25" customHeight="1">
      <c r="A43" s="204"/>
      <c r="B43" s="437" t="s">
        <v>406</v>
      </c>
      <c r="C43" s="719"/>
      <c r="D43" s="719"/>
      <c r="E43" s="116">
        <v>1.8</v>
      </c>
      <c r="F43" s="719"/>
      <c r="G43" s="113">
        <f>C43*E43</f>
        <v>0</v>
      </c>
      <c r="H43" s="114">
        <f t="shared" si="14"/>
        <v>0</v>
      </c>
      <c r="I43" s="844">
        <f t="shared" si="13"/>
      </c>
      <c r="J43" s="135"/>
      <c r="K43" s="10" t="s">
        <v>181</v>
      </c>
      <c r="L43" s="678">
        <f>$L$41-2</f>
        <v>7.289999999999999</v>
      </c>
      <c r="M43" s="96">
        <f>'ET-luvun Laskenta'!D59-L43</f>
        <v>13.71</v>
      </c>
      <c r="N43" s="97">
        <v>744</v>
      </c>
      <c r="O43" s="98">
        <f>H65/1000*M43*N43</f>
        <v>61.20144000000001</v>
      </c>
      <c r="P43" s="13"/>
      <c r="S43" s="13"/>
      <c r="T43" s="10"/>
      <c r="U43" s="194"/>
      <c r="V43" s="194"/>
      <c r="W43" s="97"/>
      <c r="X43" s="93"/>
      <c r="Y43" s="13"/>
      <c r="Z43" s="13"/>
      <c r="AA43" s="101">
        <f>AA24/'ET-luvun Laskenta'!D109</f>
        <v>42.46575416443426</v>
      </c>
      <c r="AB43" s="101">
        <f>AB24/'ET-luvun Laskenta'!D109</f>
        <v>131.50725513698632</v>
      </c>
      <c r="AC43" s="101">
        <f>AC24/'ET-luvun Laskenta'!D109</f>
        <v>173.97300930142057</v>
      </c>
      <c r="AD43" s="13"/>
      <c r="AE43" s="13"/>
      <c r="AF43" s="13"/>
      <c r="AG43" s="13"/>
      <c r="AH43" s="13"/>
      <c r="AI43" s="13"/>
      <c r="AJ43" s="13"/>
      <c r="AK43" s="13"/>
      <c r="AL43" s="13"/>
      <c r="AM43" s="13"/>
      <c r="AN43" s="13"/>
      <c r="AO43" s="13"/>
      <c r="AP43" s="208" t="s">
        <v>26</v>
      </c>
      <c r="AZ43" s="52"/>
      <c r="BA43" s="52"/>
      <c r="BB43" s="52"/>
      <c r="BC43" s="52"/>
      <c r="BD43" s="52"/>
      <c r="BE43" s="52"/>
      <c r="BF43" s="52"/>
      <c r="BG43" s="52"/>
      <c r="BH43" s="52"/>
      <c r="BI43" s="52"/>
      <c r="BJ43" s="52"/>
      <c r="BK43" s="52"/>
      <c r="BL43" s="52"/>
      <c r="BM43" s="52"/>
      <c r="BN43" s="52"/>
      <c r="BO43" s="52"/>
      <c r="BP43" s="52"/>
      <c r="BQ43" s="52"/>
      <c r="BR43" s="52"/>
      <c r="BS43" s="52"/>
      <c r="BT43" s="52"/>
      <c r="BU43" s="52"/>
      <c r="BV43" s="52"/>
      <c r="BW43" s="52"/>
      <c r="BX43" s="52"/>
      <c r="BY43" s="52"/>
      <c r="BZ43" s="52"/>
      <c r="CA43" s="52"/>
      <c r="CB43" s="52"/>
      <c r="CC43" s="52"/>
      <c r="CD43" s="52"/>
      <c r="CE43" s="52"/>
      <c r="CF43" s="52"/>
      <c r="CG43" s="52"/>
      <c r="CH43" s="52"/>
      <c r="CI43" s="52"/>
      <c r="CJ43" s="52"/>
      <c r="CK43" s="52"/>
      <c r="CL43" s="52"/>
      <c r="CM43" s="52"/>
      <c r="CN43" s="52"/>
      <c r="CO43" s="52"/>
      <c r="CP43" s="52"/>
      <c r="CQ43" s="52"/>
      <c r="CR43" s="52"/>
      <c r="CS43" s="52"/>
      <c r="CT43" s="52"/>
      <c r="CU43" s="52"/>
      <c r="CV43" s="52"/>
      <c r="CW43" s="52"/>
      <c r="CX43" s="52"/>
      <c r="CY43" s="52"/>
      <c r="CZ43" s="52"/>
      <c r="DA43" s="52"/>
      <c r="DB43" s="52"/>
      <c r="DC43" s="52"/>
      <c r="DD43" s="52"/>
      <c r="DE43" s="52"/>
      <c r="DF43" s="52"/>
      <c r="DG43" s="52"/>
      <c r="DH43" s="52"/>
      <c r="DI43" s="52"/>
      <c r="DJ43" s="52"/>
      <c r="DK43" s="52"/>
      <c r="DL43" s="52"/>
      <c r="DM43" s="52"/>
      <c r="DN43" s="52"/>
      <c r="DO43" s="52"/>
      <c r="DP43" s="52"/>
      <c r="DQ43" s="52"/>
      <c r="DR43" s="52"/>
      <c r="DS43" s="52"/>
      <c r="DT43" s="52"/>
      <c r="DU43" s="52"/>
      <c r="DV43" s="52"/>
      <c r="DW43" s="52"/>
      <c r="DX43" s="52"/>
      <c r="DY43" s="52"/>
      <c r="DZ43" s="52"/>
      <c r="EA43" s="52"/>
      <c r="EB43" s="52"/>
      <c r="EC43" s="52"/>
      <c r="ED43" s="52"/>
      <c r="EE43" s="52"/>
      <c r="EF43" s="52"/>
      <c r="EG43" s="52"/>
      <c r="EH43" s="52"/>
      <c r="EI43" s="52"/>
      <c r="EJ43" s="52"/>
      <c r="EK43" s="52"/>
      <c r="EL43" s="52"/>
      <c r="EM43" s="52"/>
      <c r="EN43" s="52"/>
      <c r="EO43" s="52"/>
      <c r="EP43" s="52"/>
      <c r="EQ43" s="52"/>
      <c r="ER43" s="52"/>
      <c r="ES43" s="52"/>
      <c r="ET43" s="52"/>
      <c r="EU43" s="52"/>
      <c r="EV43" s="52"/>
      <c r="EW43" s="52"/>
      <c r="EX43" s="52"/>
      <c r="EY43" s="52"/>
      <c r="EZ43" s="52"/>
      <c r="FA43" s="52"/>
      <c r="FB43" s="52"/>
      <c r="FC43" s="52"/>
      <c r="FD43" s="52"/>
      <c r="FE43" s="52"/>
      <c r="FF43" s="52"/>
      <c r="FG43" s="52"/>
      <c r="FH43" s="52"/>
      <c r="FI43" s="52"/>
      <c r="FJ43" s="52"/>
      <c r="FK43" s="52"/>
      <c r="FL43" s="52"/>
      <c r="FM43" s="52"/>
      <c r="FN43" s="52"/>
      <c r="FO43" s="52"/>
      <c r="FP43" s="52"/>
      <c r="FQ43" s="52"/>
      <c r="FR43" s="52"/>
      <c r="FS43" s="52"/>
      <c r="FT43" s="52"/>
      <c r="FU43" s="52"/>
    </row>
    <row r="44" spans="1:177" ht="11.25" customHeight="1">
      <c r="A44" s="209"/>
      <c r="B44" s="169" t="s">
        <v>410</v>
      </c>
      <c r="C44" s="118">
        <f>SUM(C32:C41)</f>
        <v>0</v>
      </c>
      <c r="D44" s="118">
        <f>SUM(D32:D41)</f>
        <v>0</v>
      </c>
      <c r="E44" s="119"/>
      <c r="F44" s="119"/>
      <c r="G44" s="120">
        <f>SUM(G32:G42)</f>
        <v>0</v>
      </c>
      <c r="H44" s="121">
        <f>SUM(H32:H42)</f>
        <v>0</v>
      </c>
      <c r="I44" s="843">
        <f>IF(G44=0,"",(H44-G44)/G44*100)</f>
      </c>
      <c r="J44" s="214"/>
      <c r="K44" s="10" t="s">
        <v>182</v>
      </c>
      <c r="L44" s="678">
        <f>$L$41-3</f>
        <v>6.289999999999999</v>
      </c>
      <c r="M44" s="96">
        <f>'ET-luvun Laskenta'!D59-L44</f>
        <v>14.71</v>
      </c>
      <c r="N44" s="97">
        <v>720</v>
      </c>
      <c r="O44" s="98">
        <f>H65/1000*M44*N44</f>
        <v>63.547200000000004</v>
      </c>
      <c r="P44" s="13"/>
      <c r="S44" s="13"/>
      <c r="T44" s="10"/>
      <c r="U44" s="194"/>
      <c r="V44" s="194"/>
      <c r="W44" s="97"/>
      <c r="X44" s="93"/>
      <c r="Y44" s="13"/>
      <c r="Z44" s="13"/>
      <c r="AA44" s="101">
        <f>AA25/'ET-luvun Laskenta'!D109</f>
        <v>42.46575342920772</v>
      </c>
      <c r="AB44" s="101">
        <f>AB25/'ET-luvun Laskenta'!D109</f>
        <v>131.50725513698632</v>
      </c>
      <c r="AC44" s="101">
        <f>AC25/'ET-luvun Laskenta'!D109</f>
        <v>173.97300856619404</v>
      </c>
      <c r="AD44" s="13"/>
      <c r="AE44" s="13"/>
      <c r="AF44" s="13"/>
      <c r="AG44" s="13"/>
      <c r="AH44" s="13"/>
      <c r="AI44" s="13"/>
      <c r="AJ44" s="13"/>
      <c r="AK44" s="13"/>
      <c r="AL44" s="13"/>
      <c r="AM44" s="13"/>
      <c r="AN44" s="13"/>
      <c r="AO44" s="13"/>
      <c r="AP44" s="13" t="s">
        <v>729</v>
      </c>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2"/>
      <c r="BP44" s="52"/>
      <c r="BQ44" s="52"/>
      <c r="BR44" s="52"/>
      <c r="BS44" s="52"/>
      <c r="BT44" s="52"/>
      <c r="BU44" s="52"/>
      <c r="BV44" s="52"/>
      <c r="BW44" s="52"/>
      <c r="BX44" s="52"/>
      <c r="BY44" s="52"/>
      <c r="BZ44" s="52"/>
      <c r="CA44" s="52"/>
      <c r="CB44" s="52"/>
      <c r="CC44" s="52"/>
      <c r="CD44" s="52"/>
      <c r="CE44" s="52"/>
      <c r="CF44" s="52"/>
      <c r="CG44" s="52"/>
      <c r="CH44" s="52"/>
      <c r="CI44" s="52"/>
      <c r="CJ44" s="52"/>
      <c r="CK44" s="52"/>
      <c r="CL44" s="52"/>
      <c r="CM44" s="52"/>
      <c r="CN44" s="52"/>
      <c r="CO44" s="52"/>
      <c r="CP44" s="52"/>
      <c r="CQ44" s="52"/>
      <c r="CR44" s="52"/>
      <c r="CS44" s="52"/>
      <c r="CT44" s="52"/>
      <c r="CU44" s="52"/>
      <c r="CV44" s="52"/>
      <c r="CW44" s="52"/>
      <c r="CX44" s="52"/>
      <c r="CY44" s="52"/>
      <c r="CZ44" s="52"/>
      <c r="DA44" s="52"/>
      <c r="DB44" s="52"/>
      <c r="DC44" s="52"/>
      <c r="DD44" s="52"/>
      <c r="DE44" s="52"/>
      <c r="DF44" s="52"/>
      <c r="DG44" s="52"/>
      <c r="DH44" s="52"/>
      <c r="DI44" s="52"/>
      <c r="DJ44" s="52"/>
      <c r="DK44" s="52"/>
      <c r="DL44" s="52"/>
      <c r="DM44" s="52"/>
      <c r="DN44" s="52"/>
      <c r="DO44" s="52"/>
      <c r="DP44" s="52"/>
      <c r="DQ44" s="52"/>
      <c r="DR44" s="52"/>
      <c r="DS44" s="52"/>
      <c r="DT44" s="52"/>
      <c r="DU44" s="52"/>
      <c r="DV44" s="52"/>
      <c r="DW44" s="52"/>
      <c r="DX44" s="52"/>
      <c r="DY44" s="52"/>
      <c r="DZ44" s="52"/>
      <c r="EA44" s="52"/>
      <c r="EB44" s="52"/>
      <c r="EC44" s="52"/>
      <c r="ED44" s="52"/>
      <c r="EE44" s="52"/>
      <c r="EF44" s="52"/>
      <c r="EG44" s="52"/>
      <c r="EH44" s="52"/>
      <c r="EI44" s="52"/>
      <c r="EJ44" s="52"/>
      <c r="EK44" s="52"/>
      <c r="EL44" s="52"/>
      <c r="EM44" s="52"/>
      <c r="EN44" s="52"/>
      <c r="EO44" s="52"/>
      <c r="EP44" s="52"/>
      <c r="EQ44" s="52"/>
      <c r="ER44" s="52"/>
      <c r="ES44" s="52"/>
      <c r="ET44" s="52"/>
      <c r="EU44" s="52"/>
      <c r="EV44" s="52"/>
      <c r="EW44" s="52"/>
      <c r="EX44" s="52"/>
      <c r="EY44" s="52"/>
      <c r="EZ44" s="52"/>
      <c r="FA44" s="52"/>
      <c r="FB44" s="52"/>
      <c r="FC44" s="52"/>
      <c r="FD44" s="52"/>
      <c r="FE44" s="52"/>
      <c r="FF44" s="52"/>
      <c r="FG44" s="52"/>
      <c r="FH44" s="52"/>
      <c r="FI44" s="52"/>
      <c r="FJ44" s="52"/>
      <c r="FK44" s="52"/>
      <c r="FL44" s="52"/>
      <c r="FM44" s="52"/>
      <c r="FN44" s="52"/>
      <c r="FO44" s="52"/>
      <c r="FP44" s="52"/>
      <c r="FQ44" s="52"/>
      <c r="FR44" s="52"/>
      <c r="FS44" s="52"/>
      <c r="FT44" s="52"/>
      <c r="FU44" s="52"/>
    </row>
    <row r="45" spans="1:177" ht="11.25" customHeight="1">
      <c r="A45" s="215"/>
      <c r="B45" s="438"/>
      <c r="C45" s="123"/>
      <c r="D45" s="123"/>
      <c r="E45" s="124"/>
      <c r="F45" s="124"/>
      <c r="G45" s="125"/>
      <c r="H45" s="125"/>
      <c r="I45" s="126"/>
      <c r="J45" s="135"/>
      <c r="K45" s="10" t="s">
        <v>183</v>
      </c>
      <c r="L45" s="678">
        <f>$L$41-3</f>
        <v>6.289999999999999</v>
      </c>
      <c r="M45" s="96">
        <f>'ET-luvun Laskenta'!D59-L45</f>
        <v>14.71</v>
      </c>
      <c r="N45" s="97">
        <v>744</v>
      </c>
      <c r="O45" s="98">
        <f>H65/1000*M45*N45</f>
        <v>65.66544</v>
      </c>
      <c r="P45" s="13"/>
      <c r="S45" s="13"/>
      <c r="T45" s="10"/>
      <c r="U45" s="194"/>
      <c r="V45" s="194"/>
      <c r="W45" s="97"/>
      <c r="X45" s="93"/>
      <c r="Y45" s="13"/>
      <c r="Z45" s="13"/>
      <c r="AA45" s="101">
        <f>AA26/'ET-luvun Laskenta'!D109</f>
        <v>78.63183977736219</v>
      </c>
      <c r="AB45" s="101">
        <f>AB26/'ET-luvun Laskenta'!D109</f>
        <v>127.26508561643836</v>
      </c>
      <c r="AC45" s="101">
        <f>AC26/'ET-luvun Laskenta'!D109</f>
        <v>205.89692539380053</v>
      </c>
      <c r="AD45" s="13"/>
      <c r="AE45" s="13"/>
      <c r="AF45" s="13"/>
      <c r="AG45" s="13"/>
      <c r="AH45" s="13"/>
      <c r="AI45" s="13"/>
      <c r="AJ45" s="13"/>
      <c r="AK45" s="13"/>
      <c r="AL45" s="13"/>
      <c r="AM45" s="13"/>
      <c r="AN45" s="13"/>
      <c r="AO45" s="13"/>
      <c r="AZ45" s="52"/>
      <c r="BA45" s="52"/>
      <c r="BB45" s="52"/>
      <c r="BC45" s="52"/>
      <c r="BD45" s="52"/>
      <c r="BE45" s="52"/>
      <c r="BF45" s="52"/>
      <c r="BG45" s="52"/>
      <c r="BH45" s="52"/>
      <c r="BI45" s="52"/>
      <c r="BJ45" s="52"/>
      <c r="BK45" s="52"/>
      <c r="BL45" s="52"/>
      <c r="BM45" s="52"/>
      <c r="BN45" s="52"/>
      <c r="BO45" s="52"/>
      <c r="BP45" s="52"/>
      <c r="BQ45" s="52"/>
      <c r="BR45" s="52"/>
      <c r="BS45" s="52"/>
      <c r="BT45" s="52"/>
      <c r="BU45" s="52"/>
      <c r="BV45" s="52"/>
      <c r="BW45" s="52"/>
      <c r="BX45" s="52"/>
      <c r="BY45" s="52"/>
      <c r="BZ45" s="52"/>
      <c r="CA45" s="52"/>
      <c r="CB45" s="52"/>
      <c r="CC45" s="52"/>
      <c r="CD45" s="52"/>
      <c r="CE45" s="52"/>
      <c r="CF45" s="52"/>
      <c r="CG45" s="52"/>
      <c r="CH45" s="52"/>
      <c r="CI45" s="52"/>
      <c r="CJ45" s="52"/>
      <c r="CK45" s="52"/>
      <c r="CL45" s="52"/>
      <c r="CM45" s="52"/>
      <c r="CN45" s="52"/>
      <c r="CO45" s="52"/>
      <c r="CP45" s="52"/>
      <c r="CQ45" s="52"/>
      <c r="CR45" s="52"/>
      <c r="CS45" s="52"/>
      <c r="CT45" s="52"/>
      <c r="CU45" s="52"/>
      <c r="CV45" s="52"/>
      <c r="CW45" s="52"/>
      <c r="CX45" s="52"/>
      <c r="CY45" s="52"/>
      <c r="CZ45" s="52"/>
      <c r="DA45" s="52"/>
      <c r="DB45" s="52"/>
      <c r="DC45" s="52"/>
      <c r="DD45" s="52"/>
      <c r="DE45" s="52"/>
      <c r="DF45" s="52"/>
      <c r="DG45" s="52"/>
      <c r="DH45" s="52"/>
      <c r="DI45" s="52"/>
      <c r="DJ45" s="52"/>
      <c r="DK45" s="52"/>
      <c r="DL45" s="52"/>
      <c r="DM45" s="52"/>
      <c r="DN45" s="52"/>
      <c r="DO45" s="52"/>
      <c r="DP45" s="52"/>
      <c r="DQ45" s="52"/>
      <c r="DR45" s="52"/>
      <c r="DS45" s="52"/>
      <c r="DT45" s="52"/>
      <c r="DU45" s="52"/>
      <c r="DV45" s="52"/>
      <c r="DW45" s="52"/>
      <c r="DX45" s="52"/>
      <c r="DY45" s="52"/>
      <c r="DZ45" s="52"/>
      <c r="EA45" s="52"/>
      <c r="EB45" s="52"/>
      <c r="EC45" s="52"/>
      <c r="ED45" s="52"/>
      <c r="EE45" s="52"/>
      <c r="EF45" s="52"/>
      <c r="EG45" s="52"/>
      <c r="EH45" s="52"/>
      <c r="EI45" s="52"/>
      <c r="EJ45" s="52"/>
      <c r="EK45" s="52"/>
      <c r="EL45" s="52"/>
      <c r="EM45" s="52"/>
      <c r="EN45" s="52"/>
      <c r="EO45" s="52"/>
      <c r="EP45" s="52"/>
      <c r="EQ45" s="52"/>
      <c r="ER45" s="52"/>
      <c r="ES45" s="52"/>
      <c r="ET45" s="52"/>
      <c r="EU45" s="52"/>
      <c r="EV45" s="52"/>
      <c r="EW45" s="52"/>
      <c r="EX45" s="52"/>
      <c r="EY45" s="52"/>
      <c r="EZ45" s="52"/>
      <c r="FA45" s="52"/>
      <c r="FB45" s="52"/>
      <c r="FC45" s="52"/>
      <c r="FD45" s="52"/>
      <c r="FE45" s="52"/>
      <c r="FF45" s="52"/>
      <c r="FG45" s="52"/>
      <c r="FH45" s="52"/>
      <c r="FI45" s="52"/>
      <c r="FJ45" s="52"/>
      <c r="FK45" s="52"/>
      <c r="FL45" s="52"/>
      <c r="FM45" s="52"/>
      <c r="FN45" s="52"/>
      <c r="FO45" s="52"/>
      <c r="FP45" s="52"/>
      <c r="FQ45" s="52"/>
      <c r="FR45" s="52"/>
      <c r="FS45" s="52"/>
      <c r="FT45" s="52"/>
      <c r="FU45" s="52"/>
    </row>
    <row r="46" spans="1:177" ht="11.25" customHeight="1">
      <c r="A46" s="215"/>
      <c r="B46" s="127" t="s">
        <v>253</v>
      </c>
      <c r="C46" s="128" t="s">
        <v>140</v>
      </c>
      <c r="D46" s="129"/>
      <c r="E46" s="130" t="s">
        <v>133</v>
      </c>
      <c r="F46" s="131"/>
      <c r="G46" s="132"/>
      <c r="H46" s="133"/>
      <c r="I46" s="134"/>
      <c r="J46" s="135"/>
      <c r="K46" s="10" t="s">
        <v>184</v>
      </c>
      <c r="L46" s="678">
        <f>$L$41-2</f>
        <v>7.289999999999999</v>
      </c>
      <c r="M46" s="96">
        <f>'ET-luvun Laskenta'!D59-L46</f>
        <v>13.71</v>
      </c>
      <c r="N46" s="97">
        <v>720</v>
      </c>
      <c r="O46" s="98">
        <f>H65/1000*M46*N46</f>
        <v>59.22720000000001</v>
      </c>
      <c r="P46" s="13"/>
      <c r="S46" s="13"/>
      <c r="T46" s="10"/>
      <c r="U46" s="194"/>
      <c r="V46" s="10"/>
      <c r="W46" s="97"/>
      <c r="X46" s="93"/>
      <c r="Y46" s="93"/>
      <c r="Z46" s="93"/>
      <c r="AA46" s="101">
        <f>AA27/'ET-luvun Laskenta'!D109</f>
        <v>122.2207153901399</v>
      </c>
      <c r="AB46" s="101">
        <f>AB27/'ET-luvun Laskenta'!D109</f>
        <v>131.50725513698632</v>
      </c>
      <c r="AC46" s="101">
        <f>AC27/'ET-luvun Laskenta'!D109</f>
        <v>253.72797052712622</v>
      </c>
      <c r="AD46" s="13"/>
      <c r="AE46" s="13"/>
      <c r="AF46" s="13"/>
      <c r="AG46" s="13"/>
      <c r="AH46" s="13"/>
      <c r="AI46" s="13"/>
      <c r="AJ46" s="13"/>
      <c r="AK46" s="13"/>
      <c r="AL46" s="13"/>
      <c r="AM46" s="13"/>
      <c r="AN46" s="13"/>
      <c r="AO46" s="13"/>
      <c r="AP46" s="13" t="s">
        <v>605</v>
      </c>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2"/>
      <c r="BR46" s="52"/>
      <c r="BS46" s="52"/>
      <c r="BT46" s="52"/>
      <c r="BU46" s="52"/>
      <c r="BV46" s="52"/>
      <c r="BW46" s="52"/>
      <c r="BX46" s="52"/>
      <c r="BY46" s="52"/>
      <c r="BZ46" s="52"/>
      <c r="CA46" s="52"/>
      <c r="CB46" s="52"/>
      <c r="CC46" s="52"/>
      <c r="CD46" s="52"/>
      <c r="CE46" s="52"/>
      <c r="CF46" s="52"/>
      <c r="CG46" s="52"/>
      <c r="CH46" s="52"/>
      <c r="CI46" s="52"/>
      <c r="CJ46" s="52"/>
      <c r="CK46" s="52"/>
      <c r="CL46" s="52"/>
      <c r="CM46" s="52"/>
      <c r="CN46" s="52"/>
      <c r="CO46" s="52"/>
      <c r="CP46" s="52"/>
      <c r="CQ46" s="52"/>
      <c r="CR46" s="52"/>
      <c r="CS46" s="52"/>
      <c r="CT46" s="52"/>
      <c r="CU46" s="52"/>
      <c r="CV46" s="52"/>
      <c r="CW46" s="52"/>
      <c r="CX46" s="52"/>
      <c r="CY46" s="52"/>
      <c r="CZ46" s="52"/>
      <c r="DA46" s="52"/>
      <c r="DB46" s="52"/>
      <c r="DC46" s="52"/>
      <c r="DD46" s="52"/>
      <c r="DE46" s="52"/>
      <c r="DF46" s="52"/>
      <c r="DG46" s="52"/>
      <c r="DH46" s="52"/>
      <c r="DI46" s="52"/>
      <c r="DJ46" s="52"/>
      <c r="DK46" s="52"/>
      <c r="DL46" s="52"/>
      <c r="DM46" s="52"/>
      <c r="DN46" s="52"/>
      <c r="DO46" s="52"/>
      <c r="DP46" s="52"/>
      <c r="DQ46" s="52"/>
      <c r="DR46" s="52"/>
      <c r="DS46" s="52"/>
      <c r="DT46" s="52"/>
      <c r="DU46" s="52"/>
      <c r="DV46" s="52"/>
      <c r="DW46" s="52"/>
      <c r="DX46" s="52"/>
      <c r="DY46" s="52"/>
      <c r="DZ46" s="52"/>
      <c r="EA46" s="52"/>
      <c r="EB46" s="52"/>
      <c r="EC46" s="52"/>
      <c r="ED46" s="52"/>
      <c r="EE46" s="52"/>
      <c r="EF46" s="52"/>
      <c r="EG46" s="52"/>
      <c r="EH46" s="52"/>
      <c r="EI46" s="52"/>
      <c r="EJ46" s="52"/>
      <c r="EK46" s="52"/>
      <c r="EL46" s="52"/>
      <c r="EM46" s="52"/>
      <c r="EN46" s="52"/>
      <c r="EO46" s="52"/>
      <c r="EP46" s="52"/>
      <c r="EQ46" s="52"/>
      <c r="ER46" s="52"/>
      <c r="ES46" s="52"/>
      <c r="ET46" s="52"/>
      <c r="EU46" s="52"/>
      <c r="EV46" s="52"/>
      <c r="EW46" s="52"/>
      <c r="EX46" s="52"/>
      <c r="EY46" s="52"/>
      <c r="EZ46" s="52"/>
      <c r="FA46" s="52"/>
      <c r="FB46" s="52"/>
      <c r="FC46" s="52"/>
      <c r="FD46" s="52"/>
      <c r="FE46" s="52"/>
      <c r="FF46" s="52"/>
      <c r="FG46" s="52"/>
      <c r="FH46" s="52"/>
      <c r="FI46" s="52"/>
      <c r="FJ46" s="52"/>
      <c r="FK46" s="52"/>
      <c r="FL46" s="52"/>
      <c r="FM46" s="52"/>
      <c r="FN46" s="52"/>
      <c r="FO46" s="52"/>
      <c r="FP46" s="52"/>
      <c r="FQ46" s="52"/>
      <c r="FR46" s="52"/>
      <c r="FS46" s="52"/>
      <c r="FT46" s="52"/>
      <c r="FU46" s="52"/>
    </row>
    <row r="47" spans="1:177" ht="11.25" customHeight="1">
      <c r="A47" s="215"/>
      <c r="B47" s="127" t="s">
        <v>134</v>
      </c>
      <c r="C47" s="128" t="s">
        <v>138</v>
      </c>
      <c r="D47" s="129"/>
      <c r="E47" s="130" t="s">
        <v>143</v>
      </c>
      <c r="F47" s="131"/>
      <c r="G47" s="132" t="s">
        <v>141</v>
      </c>
      <c r="H47" s="133"/>
      <c r="I47" s="134"/>
      <c r="J47" s="135"/>
      <c r="K47" s="10" t="s">
        <v>185</v>
      </c>
      <c r="L47" s="678">
        <f>$L$41+0</f>
        <v>9.29</v>
      </c>
      <c r="M47" s="96">
        <f>'ET-luvun Laskenta'!D59-L47</f>
        <v>11.71</v>
      </c>
      <c r="N47" s="97">
        <v>744</v>
      </c>
      <c r="O47" s="98">
        <f>H65/1000*M47*N47</f>
        <v>52.27344</v>
      </c>
      <c r="P47" s="13"/>
      <c r="S47" s="13"/>
      <c r="T47" s="10"/>
      <c r="U47" s="10"/>
      <c r="V47" s="10"/>
      <c r="W47" s="97"/>
      <c r="X47" s="93"/>
      <c r="Y47" s="93"/>
      <c r="Z47" s="93"/>
      <c r="AA47" s="101">
        <f>AA28/'ET-luvun Laskenta'!D109</f>
        <v>209.80297456856698</v>
      </c>
      <c r="AB47" s="101">
        <f>AB28/'ET-luvun Laskenta'!D109</f>
        <v>127.26508561643836</v>
      </c>
      <c r="AC47" s="101">
        <f>AC28/'ET-luvun Laskenta'!D109</f>
        <v>337.0680601850053</v>
      </c>
      <c r="AD47" s="13"/>
      <c r="AE47" s="13"/>
      <c r="AF47" s="13"/>
      <c r="AG47" s="13"/>
      <c r="AH47" s="13"/>
      <c r="AI47" s="13"/>
      <c r="AJ47" s="13"/>
      <c r="AK47" s="13"/>
      <c r="AL47" s="13"/>
      <c r="AM47" s="13"/>
      <c r="AN47" s="13"/>
      <c r="AO47" s="13"/>
      <c r="AP47" s="13" t="s">
        <v>34</v>
      </c>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2"/>
      <c r="BP47" s="52"/>
      <c r="BQ47" s="52"/>
      <c r="BR47" s="52"/>
      <c r="BS47" s="52"/>
      <c r="BT47" s="52"/>
      <c r="BU47" s="52"/>
      <c r="BV47" s="52"/>
      <c r="BW47" s="52"/>
      <c r="BX47" s="52"/>
      <c r="BY47" s="52"/>
      <c r="BZ47" s="52"/>
      <c r="CA47" s="52"/>
      <c r="CB47" s="52"/>
      <c r="CC47" s="52"/>
      <c r="CD47" s="52"/>
      <c r="CE47" s="52"/>
      <c r="CF47" s="52"/>
      <c r="CG47" s="52"/>
      <c r="CH47" s="52"/>
      <c r="CI47" s="52"/>
      <c r="CJ47" s="52"/>
      <c r="CK47" s="52"/>
      <c r="CL47" s="52"/>
      <c r="CM47" s="52"/>
      <c r="CN47" s="52"/>
      <c r="CO47" s="52"/>
      <c r="CP47" s="52"/>
      <c r="CQ47" s="52"/>
      <c r="CR47" s="52"/>
      <c r="CS47" s="52"/>
      <c r="CT47" s="52"/>
      <c r="CU47" s="52"/>
      <c r="CV47" s="52"/>
      <c r="CW47" s="52"/>
      <c r="CX47" s="52"/>
      <c r="CY47" s="52"/>
      <c r="CZ47" s="52"/>
      <c r="DA47" s="52"/>
      <c r="DB47" s="52"/>
      <c r="DC47" s="52"/>
      <c r="DD47" s="52"/>
      <c r="DE47" s="52"/>
      <c r="DF47" s="52"/>
      <c r="DG47" s="52"/>
      <c r="DH47" s="52"/>
      <c r="DI47" s="52"/>
      <c r="DJ47" s="52"/>
      <c r="DK47" s="52"/>
      <c r="DL47" s="52"/>
      <c r="DM47" s="52"/>
      <c r="DN47" s="52"/>
      <c r="DO47" s="52"/>
      <c r="DP47" s="52"/>
      <c r="DQ47" s="52"/>
      <c r="DR47" s="52"/>
      <c r="DS47" s="52"/>
      <c r="DT47" s="52"/>
      <c r="DU47" s="52"/>
      <c r="DV47" s="52"/>
      <c r="DW47" s="52"/>
      <c r="DX47" s="52"/>
      <c r="DY47" s="52"/>
      <c r="DZ47" s="52"/>
      <c r="EA47" s="52"/>
      <c r="EB47" s="52"/>
      <c r="EC47" s="52"/>
      <c r="ED47" s="52"/>
      <c r="EE47" s="52"/>
      <c r="EF47" s="52"/>
      <c r="EG47" s="52"/>
      <c r="EH47" s="52"/>
      <c r="EI47" s="52"/>
      <c r="EJ47" s="52"/>
      <c r="EK47" s="52"/>
      <c r="EL47" s="52"/>
      <c r="EM47" s="52"/>
      <c r="EN47" s="52"/>
      <c r="EO47" s="52"/>
      <c r="EP47" s="52"/>
      <c r="EQ47" s="52"/>
      <c r="ER47" s="52"/>
      <c r="ES47" s="52"/>
      <c r="ET47" s="52"/>
      <c r="EU47" s="52"/>
      <c r="EV47" s="52"/>
      <c r="EW47" s="52"/>
      <c r="EX47" s="52"/>
      <c r="EY47" s="52"/>
      <c r="EZ47" s="52"/>
      <c r="FA47" s="52"/>
      <c r="FB47" s="52"/>
      <c r="FC47" s="52"/>
      <c r="FD47" s="52"/>
      <c r="FE47" s="52"/>
      <c r="FF47" s="52"/>
      <c r="FG47" s="52"/>
      <c r="FH47" s="52"/>
      <c r="FI47" s="52"/>
      <c r="FJ47" s="52"/>
      <c r="FK47" s="52"/>
      <c r="FL47" s="52"/>
      <c r="FM47" s="52"/>
      <c r="FN47" s="52"/>
      <c r="FO47" s="52"/>
      <c r="FP47" s="52"/>
      <c r="FQ47" s="52"/>
      <c r="FR47" s="52"/>
      <c r="FS47" s="52"/>
      <c r="FT47" s="52"/>
      <c r="FU47" s="52"/>
    </row>
    <row r="48" spans="1:177" ht="11.25" customHeight="1">
      <c r="A48" s="215"/>
      <c r="B48" s="142">
        <f>'ET-luvun Laskenta'!$F$33</f>
        <v>430</v>
      </c>
      <c r="C48" s="143" t="s">
        <v>139</v>
      </c>
      <c r="D48" s="56"/>
      <c r="E48" s="57" t="s">
        <v>142</v>
      </c>
      <c r="F48" s="144"/>
      <c r="G48" s="145" t="s">
        <v>135</v>
      </c>
      <c r="H48" s="146"/>
      <c r="I48" s="147"/>
      <c r="J48" s="225"/>
      <c r="K48" s="10" t="s">
        <v>186</v>
      </c>
      <c r="L48" s="678">
        <f>$L$41+1</f>
        <v>10.29</v>
      </c>
      <c r="M48" s="96">
        <f>'ET-luvun Laskenta'!D59-L48</f>
        <v>10.71</v>
      </c>
      <c r="N48" s="97">
        <v>744</v>
      </c>
      <c r="O48" s="98">
        <f>H65/1000*M48*N48</f>
        <v>47.80944000000001</v>
      </c>
      <c r="P48" s="13"/>
      <c r="S48" s="13"/>
      <c r="T48" s="13"/>
      <c r="U48" s="13"/>
      <c r="V48" s="13"/>
      <c r="W48" s="97"/>
      <c r="X48" s="13"/>
      <c r="Y48" s="13"/>
      <c r="Z48" s="13"/>
      <c r="AA48" s="101">
        <f>AA29/'ET-luvun Laskenta'!D109</f>
        <v>318.0047586053458</v>
      </c>
      <c r="AB48" s="101">
        <f>AB29/'ET-luvun Laskenta'!D109</f>
        <v>131.50725513698632</v>
      </c>
      <c r="AC48" s="101">
        <f>AC29/'ET-luvun Laskenta'!D109</f>
        <v>449.5120137423321</v>
      </c>
      <c r="AD48" s="13"/>
      <c r="AE48" s="13"/>
      <c r="AF48" s="13"/>
      <c r="AG48" s="13"/>
      <c r="AH48" s="13"/>
      <c r="AI48" s="13"/>
      <c r="AJ48" s="13"/>
      <c r="AK48" s="13"/>
      <c r="AL48" s="13"/>
      <c r="AM48" s="13"/>
      <c r="AN48" s="13"/>
      <c r="AO48" s="13"/>
      <c r="AP48" s="52"/>
      <c r="AQ48" s="52"/>
      <c r="AR48" s="52"/>
      <c r="AS48" s="52"/>
      <c r="AT48" s="52"/>
      <c r="AU48" s="52"/>
      <c r="AV48" s="52"/>
      <c r="AW48" s="52"/>
      <c r="AX48" s="52"/>
      <c r="AY48" s="52"/>
      <c r="AZ48" s="52"/>
      <c r="BA48" s="52"/>
      <c r="BB48" s="52"/>
      <c r="BC48" s="52"/>
      <c r="BD48" s="52"/>
      <c r="BE48" s="52"/>
      <c r="BF48" s="52"/>
      <c r="BG48" s="52"/>
      <c r="BH48" s="52"/>
      <c r="BI48" s="52"/>
      <c r="BJ48" s="52"/>
      <c r="BK48" s="52"/>
      <c r="BL48" s="52"/>
      <c r="BM48" s="52"/>
      <c r="BN48" s="52"/>
      <c r="BO48" s="52"/>
      <c r="BP48" s="52"/>
      <c r="BQ48" s="52"/>
      <c r="BR48" s="52"/>
      <c r="BS48" s="52"/>
      <c r="BT48" s="52"/>
      <c r="BU48" s="52"/>
      <c r="BV48" s="52"/>
      <c r="BW48" s="52"/>
      <c r="BX48" s="52"/>
      <c r="BY48" s="52"/>
      <c r="BZ48" s="52"/>
      <c r="CA48" s="52"/>
      <c r="CB48" s="52"/>
      <c r="CC48" s="52"/>
      <c r="CD48" s="52"/>
      <c r="CE48" s="52"/>
      <c r="CF48" s="52"/>
      <c r="CG48" s="52"/>
      <c r="CH48" s="52"/>
      <c r="CI48" s="52"/>
      <c r="CJ48" s="52"/>
      <c r="CK48" s="52"/>
      <c r="CL48" s="52"/>
      <c r="CM48" s="52"/>
      <c r="CN48" s="52"/>
      <c r="CO48" s="52"/>
      <c r="CP48" s="52"/>
      <c r="CQ48" s="52"/>
      <c r="CR48" s="52"/>
      <c r="CS48" s="52"/>
      <c r="CT48" s="52"/>
      <c r="CU48" s="52"/>
      <c r="CV48" s="52"/>
      <c r="CW48" s="52"/>
      <c r="CX48" s="52"/>
      <c r="CY48" s="52"/>
      <c r="CZ48" s="52"/>
      <c r="DA48" s="52"/>
      <c r="DB48" s="52"/>
      <c r="DC48" s="52"/>
      <c r="DD48" s="52"/>
      <c r="DE48" s="52"/>
      <c r="DF48" s="52"/>
      <c r="DG48" s="52"/>
      <c r="DH48" s="52"/>
      <c r="DI48" s="52"/>
      <c r="DJ48" s="52"/>
      <c r="DK48" s="52"/>
      <c r="DL48" s="52"/>
      <c r="DM48" s="52"/>
      <c r="DN48" s="52"/>
      <c r="DO48" s="52"/>
      <c r="DP48" s="52"/>
      <c r="DQ48" s="52"/>
      <c r="DR48" s="52"/>
      <c r="DS48" s="52"/>
      <c r="DT48" s="52"/>
      <c r="DU48" s="52"/>
      <c r="DV48" s="52"/>
      <c r="DW48" s="52"/>
      <c r="DX48" s="52"/>
      <c r="DY48" s="52"/>
      <c r="DZ48" s="52"/>
      <c r="EA48" s="52"/>
      <c r="EB48" s="52"/>
      <c r="EC48" s="52"/>
      <c r="ED48" s="52"/>
      <c r="EE48" s="52"/>
      <c r="EF48" s="52"/>
      <c r="EG48" s="52"/>
      <c r="EH48" s="52"/>
      <c r="EI48" s="52"/>
      <c r="EJ48" s="52"/>
      <c r="EK48" s="52"/>
      <c r="EL48" s="52"/>
      <c r="EM48" s="52"/>
      <c r="EN48" s="52"/>
      <c r="EO48" s="52"/>
      <c r="EP48" s="52"/>
      <c r="EQ48" s="52"/>
      <c r="ER48" s="52"/>
      <c r="ES48" s="52"/>
      <c r="ET48" s="52"/>
      <c r="EU48" s="52"/>
      <c r="EV48" s="52"/>
      <c r="EW48" s="52"/>
      <c r="EX48" s="52"/>
      <c r="EY48" s="52"/>
      <c r="EZ48" s="52"/>
      <c r="FA48" s="52"/>
      <c r="FB48" s="52"/>
      <c r="FC48" s="52"/>
      <c r="FD48" s="52"/>
      <c r="FE48" s="52"/>
      <c r="FF48" s="52"/>
      <c r="FG48" s="52"/>
      <c r="FH48" s="52"/>
      <c r="FI48" s="52"/>
      <c r="FJ48" s="52"/>
      <c r="FK48" s="52"/>
      <c r="FL48" s="52"/>
      <c r="FM48" s="52"/>
      <c r="FN48" s="52"/>
      <c r="FO48" s="52"/>
      <c r="FP48" s="52"/>
      <c r="FQ48" s="52"/>
      <c r="FR48" s="52"/>
      <c r="FS48" s="52"/>
      <c r="FT48" s="52"/>
      <c r="FU48" s="52"/>
    </row>
    <row r="49" spans="1:177" ht="11.25" customHeight="1">
      <c r="A49" s="215"/>
      <c r="B49" s="152"/>
      <c r="C49" s="838">
        <f>'ET-luvun Laskenta'!$G$34</f>
        <v>4</v>
      </c>
      <c r="D49" s="839">
        <f>'ET-luvun Laskenta'!H34</f>
        <v>1.5</v>
      </c>
      <c r="E49" s="154"/>
      <c r="F49" s="154"/>
      <c r="G49" s="155"/>
      <c r="H49" s="156"/>
      <c r="I49" s="134"/>
      <c r="J49" s="226"/>
      <c r="K49" s="10" t="s">
        <v>187</v>
      </c>
      <c r="L49" s="678">
        <f>$L$41+2</f>
        <v>11.29</v>
      </c>
      <c r="M49" s="96">
        <f>'ET-luvun Laskenta'!D59-L49</f>
        <v>9.71</v>
      </c>
      <c r="N49" s="97">
        <v>720</v>
      </c>
      <c r="O49" s="98">
        <f>H65/1000*M49*N49</f>
        <v>41.9472</v>
      </c>
      <c r="P49" s="13"/>
      <c r="S49" s="13"/>
      <c r="T49" s="13"/>
      <c r="U49" s="13"/>
      <c r="V49" s="13"/>
      <c r="W49" s="97"/>
      <c r="X49" s="13"/>
      <c r="Y49" s="13"/>
      <c r="Z49" s="13"/>
      <c r="AA49" s="13"/>
      <c r="AB49" s="13"/>
      <c r="AC49" s="101"/>
      <c r="AD49" s="13"/>
      <c r="AE49" s="13"/>
      <c r="AF49" s="13"/>
      <c r="AG49" s="13"/>
      <c r="AH49" s="13"/>
      <c r="AI49" s="13"/>
      <c r="AJ49" s="13"/>
      <c r="AK49" s="13"/>
      <c r="AL49" s="13"/>
      <c r="AM49" s="13"/>
      <c r="AN49" s="13"/>
      <c r="AO49" s="13"/>
      <c r="AP49" s="52" t="s">
        <v>746</v>
      </c>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c r="BP49" s="52"/>
      <c r="BQ49" s="52"/>
      <c r="BR49" s="52"/>
      <c r="BS49" s="52"/>
      <c r="BT49" s="52"/>
      <c r="BU49" s="52"/>
      <c r="BV49" s="52"/>
      <c r="BW49" s="52"/>
      <c r="BX49" s="52"/>
      <c r="BY49" s="52"/>
      <c r="BZ49" s="52"/>
      <c r="CA49" s="52"/>
      <c r="CB49" s="52"/>
      <c r="CC49" s="52"/>
      <c r="CD49" s="52"/>
      <c r="CE49" s="52"/>
      <c r="CF49" s="52"/>
      <c r="CG49" s="52"/>
      <c r="CH49" s="52"/>
      <c r="CI49" s="52"/>
      <c r="CJ49" s="52"/>
      <c r="CK49" s="52"/>
      <c r="CL49" s="52"/>
      <c r="CM49" s="52"/>
      <c r="CN49" s="52"/>
      <c r="CO49" s="52"/>
      <c r="CP49" s="52"/>
      <c r="CQ49" s="52"/>
      <c r="CR49" s="52"/>
      <c r="CS49" s="52"/>
      <c r="CT49" s="52"/>
      <c r="CU49" s="52"/>
      <c r="CV49" s="52"/>
      <c r="CW49" s="52"/>
      <c r="CX49" s="52"/>
      <c r="CY49" s="52"/>
      <c r="CZ49" s="52"/>
      <c r="DA49" s="52"/>
      <c r="DB49" s="52"/>
      <c r="DC49" s="52"/>
      <c r="DD49" s="52"/>
      <c r="DE49" s="52"/>
      <c r="DF49" s="52"/>
      <c r="DG49" s="52"/>
      <c r="DH49" s="52"/>
      <c r="DI49" s="52"/>
      <c r="DJ49" s="52"/>
      <c r="DK49" s="52"/>
      <c r="DL49" s="52"/>
      <c r="DM49" s="52"/>
      <c r="DN49" s="52"/>
      <c r="DO49" s="52"/>
      <c r="DP49" s="52"/>
      <c r="DQ49" s="52"/>
      <c r="DR49" s="52"/>
      <c r="DS49" s="52"/>
      <c r="DT49" s="52"/>
      <c r="DU49" s="52"/>
      <c r="DV49" s="52"/>
      <c r="DW49" s="52"/>
      <c r="DX49" s="52"/>
      <c r="DY49" s="52"/>
      <c r="DZ49" s="52"/>
      <c r="EA49" s="52"/>
      <c r="EB49" s="52"/>
      <c r="EC49" s="52"/>
      <c r="ED49" s="52"/>
      <c r="EE49" s="52"/>
      <c r="EF49" s="52"/>
      <c r="EG49" s="52"/>
      <c r="EH49" s="52"/>
      <c r="EI49" s="52"/>
      <c r="EJ49" s="52"/>
      <c r="EK49" s="52"/>
      <c r="EL49" s="52"/>
      <c r="EM49" s="52"/>
      <c r="EN49" s="52"/>
      <c r="EO49" s="52"/>
      <c r="EP49" s="52"/>
      <c r="EQ49" s="52"/>
      <c r="ER49" s="52"/>
      <c r="ES49" s="52"/>
      <c r="ET49" s="52"/>
      <c r="EU49" s="52"/>
      <c r="EV49" s="52"/>
      <c r="EW49" s="52"/>
      <c r="EX49" s="52"/>
      <c r="EY49" s="52"/>
      <c r="EZ49" s="52"/>
      <c r="FA49" s="52"/>
      <c r="FB49" s="52"/>
      <c r="FC49" s="52"/>
      <c r="FD49" s="52"/>
      <c r="FE49" s="52"/>
      <c r="FF49" s="52"/>
      <c r="FG49" s="52"/>
      <c r="FH49" s="52"/>
      <c r="FI49" s="52"/>
      <c r="FJ49" s="52"/>
      <c r="FK49" s="52"/>
      <c r="FL49" s="52"/>
      <c r="FM49" s="52"/>
      <c r="FN49" s="52"/>
      <c r="FO49" s="52"/>
      <c r="FP49" s="52"/>
      <c r="FQ49" s="52"/>
      <c r="FR49" s="52"/>
      <c r="FS49" s="52"/>
      <c r="FT49" s="52"/>
      <c r="FU49" s="52"/>
    </row>
    <row r="50" spans="1:177" ht="11.25" customHeight="1">
      <c r="A50" s="215"/>
      <c r="B50" s="127"/>
      <c r="C50" s="153">
        <f>'ET-luvun Laskenta'!G35</f>
        <v>0.16</v>
      </c>
      <c r="D50" s="711">
        <f>'ET-luvun Laskenta'!H35</f>
        <v>0.06</v>
      </c>
      <c r="E50" s="154">
        <f>'ET-luvun Laskenta'!I35</f>
        <v>19.11111111111111</v>
      </c>
      <c r="F50" s="154">
        <f>'ET-luvun Laskenta'!J35</f>
        <v>7.166666666666667</v>
      </c>
      <c r="G50" s="155">
        <f>1.2*E50</f>
        <v>22.933333333333334</v>
      </c>
      <c r="H50" s="156">
        <f>1.2*F50</f>
        <v>8.6</v>
      </c>
      <c r="I50" s="87">
        <f>IF(G50=0,"",(H50-G50)/G50*100)</f>
        <v>-62.5</v>
      </c>
      <c r="J50" s="226"/>
      <c r="K50" s="10" t="s">
        <v>188</v>
      </c>
      <c r="L50" s="678">
        <f>$L$41+3</f>
        <v>12.29</v>
      </c>
      <c r="M50" s="96">
        <f>'ET-luvun Laskenta'!D59-L50</f>
        <v>8.71</v>
      </c>
      <c r="N50" s="97">
        <v>744</v>
      </c>
      <c r="O50" s="98">
        <f>H65/1000*M50*N50</f>
        <v>38.881440000000005</v>
      </c>
      <c r="P50" s="13"/>
      <c r="S50" s="13"/>
      <c r="T50" s="13"/>
      <c r="U50" s="13"/>
      <c r="V50" s="13"/>
      <c r="W50" s="97"/>
      <c r="X50" s="13"/>
      <c r="Y50" s="13"/>
      <c r="Z50" s="13"/>
      <c r="AA50" s="227">
        <f>SUM(AA37:AA49)</f>
        <v>1942.2831098973961</v>
      </c>
      <c r="AB50" s="227">
        <f>SUM(AB37:AB49)</f>
        <v>1548.3918750000003</v>
      </c>
      <c r="AC50" s="139">
        <f>SUM(AC37:AC48)</f>
        <v>3490.674984897396</v>
      </c>
      <c r="AD50" s="13"/>
      <c r="AE50" s="13"/>
      <c r="AF50" s="13"/>
      <c r="AG50" s="13"/>
      <c r="AH50" s="13"/>
      <c r="AI50" s="13"/>
      <c r="AJ50" s="13"/>
      <c r="AK50" s="13"/>
      <c r="AL50" s="13"/>
      <c r="AM50" s="13"/>
      <c r="AN50" s="13"/>
      <c r="AO50" s="13"/>
      <c r="AP50" s="52" t="s">
        <v>99</v>
      </c>
      <c r="AQ50" s="52"/>
      <c r="AR50" s="52"/>
      <c r="AS50" s="52"/>
      <c r="AT50" s="52"/>
      <c r="AU50" s="52"/>
      <c r="AV50" s="52"/>
      <c r="AW50" s="52"/>
      <c r="AX50" s="52"/>
      <c r="AY50" s="52"/>
      <c r="AZ50" s="52"/>
      <c r="BA50" s="52"/>
      <c r="BB50" s="52"/>
      <c r="BC50" s="52"/>
      <c r="BD50" s="52"/>
      <c r="BE50" s="52"/>
      <c r="BF50" s="52"/>
      <c r="BG50" s="52"/>
      <c r="BH50" s="52"/>
      <c r="BI50" s="52"/>
      <c r="BJ50" s="52"/>
      <c r="BK50" s="52"/>
      <c r="BL50" s="52"/>
      <c r="BM50" s="52"/>
      <c r="BN50" s="52"/>
      <c r="BO50" s="52"/>
      <c r="BP50" s="52"/>
      <c r="BQ50" s="52"/>
      <c r="BR50" s="52"/>
      <c r="BS50" s="52"/>
      <c r="BT50" s="52"/>
      <c r="BU50" s="52"/>
      <c r="BV50" s="52"/>
      <c r="BW50" s="52"/>
      <c r="BX50" s="52"/>
      <c r="BY50" s="52"/>
      <c r="BZ50" s="52"/>
      <c r="CA50" s="52"/>
      <c r="CB50" s="52"/>
      <c r="CC50" s="52"/>
      <c r="CD50" s="52"/>
      <c r="CE50" s="52"/>
      <c r="CF50" s="52"/>
      <c r="CG50" s="52"/>
      <c r="CH50" s="52"/>
      <c r="CI50" s="52"/>
      <c r="CJ50" s="52"/>
      <c r="CK50" s="52"/>
      <c r="CL50" s="52"/>
      <c r="CM50" s="52"/>
      <c r="CN50" s="52"/>
      <c r="CO50" s="52"/>
      <c r="CP50" s="52"/>
      <c r="CQ50" s="52"/>
      <c r="CR50" s="52"/>
      <c r="CS50" s="52"/>
      <c r="CT50" s="52"/>
      <c r="CU50" s="52"/>
      <c r="CV50" s="52"/>
      <c r="CW50" s="52"/>
      <c r="CX50" s="52"/>
      <c r="CY50" s="52"/>
      <c r="CZ50" s="52"/>
      <c r="DA50" s="52"/>
      <c r="DB50" s="52"/>
      <c r="DC50" s="52"/>
      <c r="DD50" s="52"/>
      <c r="DE50" s="52"/>
      <c r="DF50" s="52"/>
      <c r="DG50" s="52"/>
      <c r="DH50" s="52"/>
      <c r="DI50" s="52"/>
      <c r="DJ50" s="52"/>
      <c r="DK50" s="52"/>
      <c r="DL50" s="52"/>
      <c r="DM50" s="52"/>
      <c r="DN50" s="52"/>
      <c r="DO50" s="52"/>
      <c r="DP50" s="52"/>
      <c r="DQ50" s="52"/>
      <c r="DR50" s="52"/>
      <c r="DS50" s="52"/>
      <c r="DT50" s="52"/>
      <c r="DU50" s="52"/>
      <c r="DV50" s="52"/>
      <c r="DW50" s="52"/>
      <c r="DX50" s="52"/>
      <c r="DY50" s="52"/>
      <c r="DZ50" s="52"/>
      <c r="EA50" s="52"/>
      <c r="EB50" s="52"/>
      <c r="EC50" s="52"/>
      <c r="ED50" s="52"/>
      <c r="EE50" s="52"/>
      <c r="EF50" s="52"/>
      <c r="EG50" s="52"/>
      <c r="EH50" s="52"/>
      <c r="EI50" s="52"/>
      <c r="EJ50" s="52"/>
      <c r="EK50" s="52"/>
      <c r="EL50" s="52"/>
      <c r="EM50" s="52"/>
      <c r="EN50" s="52"/>
      <c r="EO50" s="52"/>
      <c r="EP50" s="52"/>
      <c r="EQ50" s="52"/>
      <c r="ER50" s="52"/>
      <c r="ES50" s="52"/>
      <c r="ET50" s="52"/>
      <c r="EU50" s="52"/>
      <c r="EV50" s="52"/>
      <c r="EW50" s="52"/>
      <c r="EX50" s="52"/>
      <c r="EY50" s="52"/>
      <c r="EZ50" s="52"/>
      <c r="FA50" s="52"/>
      <c r="FB50" s="52"/>
      <c r="FC50" s="52"/>
      <c r="FD50" s="52"/>
      <c r="FE50" s="52"/>
      <c r="FF50" s="52"/>
      <c r="FG50" s="52"/>
      <c r="FH50" s="52"/>
      <c r="FI50" s="52"/>
      <c r="FJ50" s="52"/>
      <c r="FK50" s="52"/>
      <c r="FL50" s="52"/>
      <c r="FM50" s="52"/>
      <c r="FN50" s="52"/>
      <c r="FO50" s="52"/>
      <c r="FP50" s="52"/>
      <c r="FQ50" s="52"/>
      <c r="FR50" s="52"/>
      <c r="FS50" s="52"/>
      <c r="FT50" s="52"/>
      <c r="FU50" s="52"/>
    </row>
    <row r="51" spans="1:177" ht="11.25" customHeight="1">
      <c r="A51" s="215"/>
      <c r="B51" s="268" t="s">
        <v>408</v>
      </c>
      <c r="C51" s="91">
        <v>4</v>
      </c>
      <c r="D51" s="840"/>
      <c r="E51" s="85"/>
      <c r="F51" s="85"/>
      <c r="G51" s="85"/>
      <c r="H51" s="86"/>
      <c r="I51" s="85"/>
      <c r="J51" s="226"/>
      <c r="K51" s="10" t="s">
        <v>189</v>
      </c>
      <c r="L51" s="678">
        <f>$L$41+3</f>
        <v>12.29</v>
      </c>
      <c r="M51" s="96">
        <f>'ET-luvun Laskenta'!D59-L51</f>
        <v>8.71</v>
      </c>
      <c r="N51" s="97">
        <v>720</v>
      </c>
      <c r="O51" s="98">
        <f>H65/1000*M51*N51</f>
        <v>37.62720000000001</v>
      </c>
      <c r="P51" s="13"/>
      <c r="S51" s="13"/>
      <c r="AD51" s="13"/>
      <c r="AE51" s="13"/>
      <c r="AF51" s="13"/>
      <c r="AG51" s="13"/>
      <c r="AH51" s="13"/>
      <c r="AI51" s="13"/>
      <c r="AJ51" s="13"/>
      <c r="AK51" s="13"/>
      <c r="AL51" s="13"/>
      <c r="AM51" s="13"/>
      <c r="AN51" s="13"/>
      <c r="AO51" s="13"/>
      <c r="AP51" s="800" t="s">
        <v>675</v>
      </c>
      <c r="AQ51" s="52"/>
      <c r="AR51" s="52"/>
      <c r="AS51" s="52"/>
      <c r="AT51" s="52"/>
      <c r="AU51" s="52"/>
      <c r="AV51" s="52"/>
      <c r="AW51" s="52"/>
      <c r="AX51" s="52"/>
      <c r="AY51" s="52"/>
      <c r="AZ51" s="52"/>
      <c r="BA51" s="52"/>
      <c r="BB51" s="52"/>
      <c r="BC51" s="52"/>
      <c r="BD51" s="52"/>
      <c r="BE51" s="52"/>
      <c r="BF51" s="52"/>
      <c r="BG51" s="52"/>
      <c r="BH51" s="52"/>
      <c r="BI51" s="52"/>
      <c r="BJ51" s="52"/>
      <c r="BK51" s="52"/>
      <c r="BL51" s="52"/>
      <c r="BM51" s="52"/>
      <c r="BN51" s="52"/>
      <c r="BO51" s="52"/>
      <c r="BP51" s="52"/>
      <c r="BQ51" s="52"/>
      <c r="BR51" s="52"/>
      <c r="BS51" s="52"/>
      <c r="BT51" s="52"/>
      <c r="BU51" s="52"/>
      <c r="BV51" s="52"/>
      <c r="BW51" s="52"/>
      <c r="BX51" s="52"/>
      <c r="BY51" s="52"/>
      <c r="BZ51" s="52"/>
      <c r="CA51" s="52"/>
      <c r="CB51" s="52"/>
      <c r="CC51" s="52"/>
      <c r="CD51" s="52"/>
      <c r="CE51" s="52"/>
      <c r="CF51" s="52"/>
      <c r="CG51" s="52"/>
      <c r="CH51" s="52"/>
      <c r="CI51" s="52"/>
      <c r="CJ51" s="52"/>
      <c r="CK51" s="52"/>
      <c r="CL51" s="52"/>
      <c r="CM51" s="52"/>
      <c r="CN51" s="52"/>
      <c r="CO51" s="52"/>
      <c r="CP51" s="52"/>
      <c r="CQ51" s="52"/>
      <c r="CR51" s="52"/>
      <c r="CS51" s="52"/>
      <c r="CT51" s="52"/>
      <c r="CU51" s="52"/>
      <c r="CV51" s="52"/>
      <c r="CW51" s="52"/>
      <c r="CX51" s="52"/>
      <c r="CY51" s="52"/>
      <c r="CZ51" s="52"/>
      <c r="DA51" s="52"/>
      <c r="DB51" s="52"/>
      <c r="DC51" s="52"/>
      <c r="DD51" s="52"/>
      <c r="DE51" s="52"/>
      <c r="DF51" s="52"/>
      <c r="DG51" s="52"/>
      <c r="DH51" s="52"/>
      <c r="DI51" s="52"/>
      <c r="DJ51" s="52"/>
      <c r="DK51" s="52"/>
      <c r="DL51" s="52"/>
      <c r="DM51" s="52"/>
      <c r="DN51" s="52"/>
      <c r="DO51" s="52"/>
      <c r="DP51" s="52"/>
      <c r="DQ51" s="52"/>
      <c r="DR51" s="52"/>
      <c r="DS51" s="52"/>
      <c r="DT51" s="52"/>
      <c r="DU51" s="52"/>
      <c r="DV51" s="52"/>
      <c r="DW51" s="52"/>
      <c r="DX51" s="52"/>
      <c r="DY51" s="52"/>
      <c r="DZ51" s="52"/>
      <c r="EA51" s="52"/>
      <c r="EB51" s="52"/>
      <c r="EC51" s="52"/>
      <c r="ED51" s="52"/>
      <c r="EE51" s="52"/>
      <c r="EF51" s="52"/>
      <c r="EG51" s="52"/>
      <c r="EH51" s="52"/>
      <c r="EI51" s="52"/>
      <c r="EJ51" s="52"/>
      <c r="EK51" s="52"/>
      <c r="EL51" s="52"/>
      <c r="EM51" s="52"/>
      <c r="EN51" s="52"/>
      <c r="EO51" s="52"/>
      <c r="EP51" s="52"/>
      <c r="EQ51" s="52"/>
      <c r="ER51" s="52"/>
      <c r="ES51" s="52"/>
      <c r="ET51" s="52"/>
      <c r="EU51" s="52"/>
      <c r="EV51" s="52"/>
      <c r="EW51" s="52"/>
      <c r="EX51" s="52"/>
      <c r="EY51" s="52"/>
      <c r="EZ51" s="52"/>
      <c r="FA51" s="52"/>
      <c r="FB51" s="52"/>
      <c r="FC51" s="52"/>
      <c r="FD51" s="52"/>
      <c r="FE51" s="52"/>
      <c r="FF51" s="52"/>
      <c r="FG51" s="52"/>
      <c r="FH51" s="52"/>
      <c r="FI51" s="52"/>
      <c r="FJ51" s="52"/>
      <c r="FK51" s="52"/>
      <c r="FL51" s="52"/>
      <c r="FM51" s="52"/>
      <c r="FN51" s="52"/>
      <c r="FO51" s="52"/>
      <c r="FP51" s="52"/>
      <c r="FQ51" s="52"/>
      <c r="FR51" s="52"/>
      <c r="FS51" s="52"/>
      <c r="FT51" s="52"/>
      <c r="FU51" s="52"/>
    </row>
    <row r="52" spans="1:177" ht="11.25" customHeight="1">
      <c r="A52" s="209"/>
      <c r="B52" s="728"/>
      <c r="C52" s="691">
        <v>0.16</v>
      </c>
      <c r="D52" s="729"/>
      <c r="E52" s="729"/>
      <c r="F52" s="729"/>
      <c r="G52" s="730"/>
      <c r="H52" s="735"/>
      <c r="I52" s="844">
        <f>IF(G52=0,"",(H52-G52)/G52*100)</f>
      </c>
      <c r="J52" s="226"/>
      <c r="K52" s="10" t="s">
        <v>190</v>
      </c>
      <c r="L52" s="678">
        <f>$L$41+2</f>
        <v>11.29</v>
      </c>
      <c r="M52" s="96">
        <f>'ET-luvun Laskenta'!D59-L52</f>
        <v>9.71</v>
      </c>
      <c r="N52" s="97">
        <v>744</v>
      </c>
      <c r="O52" s="98">
        <f>H65/1000*M52*N52</f>
        <v>43.34544</v>
      </c>
      <c r="P52" s="13"/>
      <c r="S52" s="13"/>
      <c r="T52" s="229"/>
      <c r="U52" s="230" t="s">
        <v>87</v>
      </c>
      <c r="V52" s="229"/>
      <c r="W52" s="229"/>
      <c r="X52" s="229"/>
      <c r="Y52" s="229"/>
      <c r="Z52" s="229"/>
      <c r="AA52" s="229"/>
      <c r="AB52" s="231"/>
      <c r="AC52" s="97"/>
      <c r="AD52" s="13"/>
      <c r="AE52" s="13"/>
      <c r="AF52" s="13"/>
      <c r="AG52" s="13"/>
      <c r="AH52" s="13"/>
      <c r="AI52" s="13"/>
      <c r="AJ52" s="13"/>
      <c r="AK52" s="13"/>
      <c r="AL52" s="13"/>
      <c r="AM52" s="13"/>
      <c r="AN52" s="13"/>
      <c r="AO52" s="13"/>
      <c r="AP52" s="52"/>
      <c r="AQ52" s="52"/>
      <c r="AR52" s="52"/>
      <c r="AS52" s="52"/>
      <c r="AT52" s="52"/>
      <c r="AU52" s="52"/>
      <c r="AV52" s="52"/>
      <c r="AW52" s="52"/>
      <c r="AX52" s="52"/>
      <c r="AY52" s="52"/>
      <c r="AZ52" s="52"/>
      <c r="BA52" s="52"/>
      <c r="BB52" s="52"/>
      <c r="BC52" s="52"/>
      <c r="BD52" s="52"/>
      <c r="BE52" s="52"/>
      <c r="BF52" s="52"/>
      <c r="BG52" s="52"/>
      <c r="BH52" s="52"/>
      <c r="BI52" s="52"/>
      <c r="BJ52" s="52"/>
      <c r="BK52" s="52"/>
      <c r="BL52" s="52"/>
      <c r="BM52" s="52"/>
      <c r="BN52" s="52"/>
      <c r="BO52" s="52"/>
      <c r="BP52" s="52"/>
      <c r="BQ52" s="52"/>
      <c r="BR52" s="52"/>
      <c r="BS52" s="52"/>
      <c r="BT52" s="52"/>
      <c r="BU52" s="52"/>
      <c r="BV52" s="52"/>
      <c r="BW52" s="52"/>
      <c r="BX52" s="52"/>
      <c r="BY52" s="52"/>
      <c r="BZ52" s="52"/>
      <c r="CA52" s="52"/>
      <c r="CB52" s="52"/>
      <c r="CC52" s="52"/>
      <c r="CD52" s="52"/>
      <c r="CE52" s="52"/>
      <c r="CF52" s="52"/>
      <c r="CG52" s="52"/>
      <c r="CH52" s="52"/>
      <c r="CI52" s="52"/>
      <c r="CJ52" s="52"/>
      <c r="CK52" s="52"/>
      <c r="CL52" s="52"/>
      <c r="CM52" s="52"/>
      <c r="CN52" s="52"/>
      <c r="CO52" s="52"/>
      <c r="CP52" s="52"/>
      <c r="CQ52" s="52"/>
      <c r="CR52" s="52"/>
      <c r="CS52" s="52"/>
      <c r="CT52" s="52"/>
      <c r="CU52" s="52"/>
      <c r="CV52" s="52"/>
      <c r="CW52" s="52"/>
      <c r="CX52" s="52"/>
      <c r="CY52" s="52"/>
      <c r="CZ52" s="52"/>
      <c r="DA52" s="52"/>
      <c r="DB52" s="52"/>
      <c r="DC52" s="52"/>
      <c r="DD52" s="52"/>
      <c r="DE52" s="52"/>
      <c r="DF52" s="52"/>
      <c r="DG52" s="52"/>
      <c r="DH52" s="52"/>
      <c r="DI52" s="52"/>
      <c r="DJ52" s="52"/>
      <c r="DK52" s="52"/>
      <c r="DL52" s="52"/>
      <c r="DM52" s="52"/>
      <c r="DN52" s="52"/>
      <c r="DO52" s="52"/>
      <c r="DP52" s="52"/>
      <c r="DQ52" s="52"/>
      <c r="DR52" s="52"/>
      <c r="DS52" s="52"/>
      <c r="DT52" s="52"/>
      <c r="DU52" s="52"/>
      <c r="DV52" s="52"/>
      <c r="DW52" s="52"/>
      <c r="DX52" s="52"/>
      <c r="DY52" s="52"/>
      <c r="DZ52" s="52"/>
      <c r="EA52" s="52"/>
      <c r="EB52" s="52"/>
      <c r="EC52" s="52"/>
      <c r="ED52" s="52"/>
      <c r="EE52" s="52"/>
      <c r="EF52" s="52"/>
      <c r="EG52" s="52"/>
      <c r="EH52" s="52"/>
      <c r="EI52" s="52"/>
      <c r="EJ52" s="52"/>
      <c r="EK52" s="52"/>
      <c r="EL52" s="52"/>
      <c r="EM52" s="52"/>
      <c r="EN52" s="52"/>
      <c r="EO52" s="52"/>
      <c r="EP52" s="52"/>
      <c r="EQ52" s="52"/>
      <c r="ER52" s="52"/>
      <c r="ES52" s="52"/>
      <c r="ET52" s="52"/>
      <c r="EU52" s="52"/>
      <c r="EV52" s="52"/>
      <c r="EW52" s="52"/>
      <c r="EX52" s="52"/>
      <c r="EY52" s="52"/>
      <c r="EZ52" s="52"/>
      <c r="FA52" s="52"/>
      <c r="FB52" s="52"/>
      <c r="FC52" s="52"/>
      <c r="FD52" s="52"/>
      <c r="FE52" s="52"/>
      <c r="FF52" s="52"/>
      <c r="FG52" s="52"/>
      <c r="FH52" s="52"/>
      <c r="FI52" s="52"/>
      <c r="FJ52" s="52"/>
      <c r="FK52" s="52"/>
      <c r="FL52" s="52"/>
      <c r="FM52" s="52"/>
      <c r="FN52" s="52"/>
      <c r="FO52" s="52"/>
      <c r="FP52" s="52"/>
      <c r="FQ52" s="52"/>
      <c r="FR52" s="52"/>
      <c r="FS52" s="52"/>
      <c r="FT52" s="52"/>
      <c r="FU52" s="52"/>
    </row>
    <row r="53" spans="1:177" ht="11.25" customHeight="1">
      <c r="A53" s="215"/>
      <c r="B53" s="169" t="s">
        <v>160</v>
      </c>
      <c r="C53" s="170"/>
      <c r="D53" s="170"/>
      <c r="E53" s="171"/>
      <c r="F53" s="171"/>
      <c r="G53" s="172">
        <f>SUM(G50)</f>
        <v>22.933333333333334</v>
      </c>
      <c r="H53" s="173">
        <f>SUM(H50)</f>
        <v>8.6</v>
      </c>
      <c r="I53" s="843">
        <f>IF(G53=0,"",(H53-G53)/G53*100)</f>
        <v>-62.5</v>
      </c>
      <c r="J53" s="226"/>
      <c r="K53" s="10"/>
      <c r="L53" s="96"/>
      <c r="M53" s="96"/>
      <c r="N53" s="97"/>
      <c r="O53" s="98"/>
      <c r="P53" s="13"/>
      <c r="S53" s="13"/>
      <c r="T53" s="13" t="s">
        <v>298</v>
      </c>
      <c r="U53" s="13" t="s">
        <v>293</v>
      </c>
      <c r="V53" s="13"/>
      <c r="W53" s="167" t="s">
        <v>291</v>
      </c>
      <c r="X53" s="13"/>
      <c r="Y53" s="13"/>
      <c r="Z53" s="167" t="s">
        <v>294</v>
      </c>
      <c r="AA53" s="97"/>
      <c r="AB53" s="167" t="s">
        <v>640</v>
      </c>
      <c r="AC53" s="97"/>
      <c r="AD53" s="13"/>
      <c r="AE53" s="13"/>
      <c r="AF53" s="13"/>
      <c r="AG53" s="13"/>
      <c r="AH53" s="13"/>
      <c r="AI53" s="13"/>
      <c r="AJ53" s="13"/>
      <c r="AK53" s="13"/>
      <c r="AL53" s="13"/>
      <c r="AM53" s="13"/>
      <c r="AN53" s="13"/>
      <c r="AO53" s="13"/>
      <c r="AP53" s="52"/>
      <c r="AQ53" s="52"/>
      <c r="AR53" s="52"/>
      <c r="AS53" s="52"/>
      <c r="AT53" s="52"/>
      <c r="AU53" s="52"/>
      <c r="AV53" s="52"/>
      <c r="AW53" s="52"/>
      <c r="AX53" s="52"/>
      <c r="AY53" s="52"/>
      <c r="AZ53" s="52"/>
      <c r="BA53" s="52"/>
      <c r="BB53" s="52"/>
      <c r="BC53" s="52"/>
      <c r="BD53" s="52"/>
      <c r="BE53" s="52"/>
      <c r="BF53" s="52"/>
      <c r="BG53" s="52"/>
      <c r="BH53" s="52"/>
      <c r="BI53" s="52"/>
      <c r="BJ53" s="52"/>
      <c r="BK53" s="52"/>
      <c r="BL53" s="52"/>
      <c r="BM53" s="52"/>
      <c r="BN53" s="52"/>
      <c r="BO53" s="52"/>
      <c r="BP53" s="52"/>
      <c r="BQ53" s="52"/>
      <c r="BR53" s="52"/>
      <c r="BS53" s="52"/>
      <c r="BT53" s="52"/>
      <c r="BU53" s="52"/>
      <c r="BV53" s="52"/>
      <c r="BW53" s="52"/>
      <c r="BX53" s="52"/>
      <c r="BY53" s="52"/>
      <c r="BZ53" s="52"/>
      <c r="CA53" s="52"/>
      <c r="CB53" s="52"/>
      <c r="CC53" s="52"/>
      <c r="CD53" s="52"/>
      <c r="CE53" s="52"/>
      <c r="CF53" s="52"/>
      <c r="CG53" s="52"/>
      <c r="CH53" s="52"/>
      <c r="CI53" s="52"/>
      <c r="CJ53" s="52"/>
      <c r="CK53" s="52"/>
      <c r="CL53" s="52"/>
      <c r="CM53" s="52"/>
      <c r="CN53" s="52"/>
      <c r="CO53" s="52"/>
      <c r="CP53" s="52"/>
      <c r="CQ53" s="52"/>
      <c r="CR53" s="52"/>
      <c r="CS53" s="52"/>
      <c r="CT53" s="52"/>
      <c r="CU53" s="52"/>
      <c r="CV53" s="52"/>
      <c r="CW53" s="52"/>
      <c r="CX53" s="52"/>
      <c r="CY53" s="52"/>
      <c r="CZ53" s="52"/>
      <c r="DA53" s="52"/>
      <c r="DB53" s="52"/>
      <c r="DC53" s="52"/>
      <c r="DD53" s="52"/>
      <c r="DE53" s="52"/>
      <c r="DF53" s="52"/>
      <c r="DG53" s="52"/>
      <c r="DH53" s="52"/>
      <c r="DI53" s="52"/>
      <c r="DJ53" s="52"/>
      <c r="DK53" s="52"/>
      <c r="DL53" s="52"/>
      <c r="DM53" s="52"/>
      <c r="DN53" s="52"/>
      <c r="DO53" s="52"/>
      <c r="DP53" s="52"/>
      <c r="DQ53" s="52"/>
      <c r="DR53" s="52"/>
      <c r="DS53" s="52"/>
      <c r="DT53" s="52"/>
      <c r="DU53" s="52"/>
      <c r="DV53" s="52"/>
      <c r="DW53" s="52"/>
      <c r="DX53" s="52"/>
      <c r="DY53" s="52"/>
      <c r="DZ53" s="52"/>
      <c r="EA53" s="52"/>
      <c r="EB53" s="52"/>
      <c r="EC53" s="52"/>
      <c r="ED53" s="52"/>
      <c r="EE53" s="52"/>
      <c r="EF53" s="52"/>
      <c r="EG53" s="52"/>
      <c r="EH53" s="52"/>
      <c r="EI53" s="52"/>
      <c r="EJ53" s="52"/>
      <c r="EK53" s="52"/>
      <c r="EL53" s="52"/>
      <c r="EM53" s="52"/>
      <c r="EN53" s="52"/>
      <c r="EO53" s="52"/>
      <c r="EP53" s="52"/>
      <c r="EQ53" s="52"/>
      <c r="ER53" s="52"/>
      <c r="ES53" s="52"/>
      <c r="ET53" s="52"/>
      <c r="EU53" s="52"/>
      <c r="EV53" s="52"/>
      <c r="EW53" s="52"/>
      <c r="EX53" s="52"/>
      <c r="EY53" s="52"/>
      <c r="EZ53" s="52"/>
      <c r="FA53" s="52"/>
      <c r="FB53" s="52"/>
      <c r="FC53" s="52"/>
      <c r="FD53" s="52"/>
      <c r="FE53" s="52"/>
      <c r="FF53" s="52"/>
      <c r="FG53" s="52"/>
      <c r="FH53" s="52"/>
      <c r="FI53" s="52"/>
      <c r="FJ53" s="52"/>
      <c r="FK53" s="52"/>
      <c r="FL53" s="52"/>
      <c r="FM53" s="52"/>
      <c r="FN53" s="52"/>
      <c r="FO53" s="52"/>
      <c r="FP53" s="52"/>
      <c r="FQ53" s="52"/>
      <c r="FR53" s="52"/>
      <c r="FS53" s="52"/>
      <c r="FT53" s="52"/>
      <c r="FU53" s="52"/>
    </row>
    <row r="54" spans="1:177" ht="11.25" customHeight="1">
      <c r="A54" s="215"/>
      <c r="B54" s="176"/>
      <c r="C54" s="177"/>
      <c r="D54" s="177"/>
      <c r="E54" s="178"/>
      <c r="F54" s="178"/>
      <c r="G54" s="179"/>
      <c r="H54" s="180"/>
      <c r="I54" s="181"/>
      <c r="J54" s="226"/>
      <c r="K54" s="10" t="s">
        <v>163</v>
      </c>
      <c r="L54" s="96">
        <f>SUM(L41:L52)/12</f>
        <v>9.289999999999997</v>
      </c>
      <c r="M54" s="96">
        <f>'ET-luvun Laskenta'!D59-L54</f>
        <v>11.710000000000003</v>
      </c>
      <c r="N54" s="97">
        <f>SUM(N41:N52)</f>
        <v>8760</v>
      </c>
      <c r="O54" s="136">
        <f>SUM(O41:O52)</f>
        <v>615.0456000000001</v>
      </c>
      <c r="P54" s="13"/>
      <c r="S54" s="13"/>
      <c r="T54" s="229" t="s">
        <v>299</v>
      </c>
      <c r="U54" s="229" t="s">
        <v>162</v>
      </c>
      <c r="V54" s="313" t="s">
        <v>292</v>
      </c>
      <c r="W54" s="229" t="s">
        <v>90</v>
      </c>
      <c r="X54" s="229"/>
      <c r="Y54" s="313" t="s">
        <v>292</v>
      </c>
      <c r="Z54" s="229" t="s">
        <v>91</v>
      </c>
      <c r="AA54" s="233"/>
      <c r="AB54" s="313" t="s">
        <v>641</v>
      </c>
      <c r="AC54" s="97"/>
      <c r="AD54" s="13"/>
      <c r="AE54" s="13"/>
      <c r="AF54" s="13"/>
      <c r="AG54" s="13"/>
      <c r="AH54" s="13"/>
      <c r="AI54" s="13"/>
      <c r="AJ54" s="13"/>
      <c r="AK54" s="13"/>
      <c r="AL54" s="13"/>
      <c r="AM54" s="13"/>
      <c r="AN54" s="13"/>
      <c r="AO54" s="13"/>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c r="BO54" s="52"/>
      <c r="BP54" s="52"/>
      <c r="BQ54" s="52"/>
      <c r="BR54" s="52"/>
      <c r="BS54" s="52"/>
      <c r="BT54" s="52"/>
      <c r="BU54" s="52"/>
      <c r="BV54" s="52"/>
      <c r="BW54" s="52"/>
      <c r="BX54" s="52"/>
      <c r="BY54" s="52"/>
      <c r="BZ54" s="52"/>
      <c r="CA54" s="52"/>
      <c r="CB54" s="52"/>
      <c r="CC54" s="52"/>
      <c r="CD54" s="52"/>
      <c r="CE54" s="52"/>
      <c r="CF54" s="52"/>
      <c r="CG54" s="52"/>
      <c r="CH54" s="52"/>
      <c r="CI54" s="52"/>
      <c r="CJ54" s="52"/>
      <c r="CK54" s="52"/>
      <c r="CL54" s="52"/>
      <c r="CM54" s="52"/>
      <c r="CN54" s="52"/>
      <c r="CO54" s="52"/>
      <c r="CP54" s="52"/>
      <c r="CQ54" s="52"/>
      <c r="CR54" s="52"/>
      <c r="CS54" s="52"/>
      <c r="CT54" s="52"/>
      <c r="CU54" s="52"/>
      <c r="CV54" s="52"/>
      <c r="CW54" s="52"/>
      <c r="CX54" s="52"/>
      <c r="CY54" s="52"/>
      <c r="CZ54" s="52"/>
      <c r="DA54" s="52"/>
      <c r="DB54" s="52"/>
      <c r="DC54" s="52"/>
      <c r="DD54" s="52"/>
      <c r="DE54" s="52"/>
      <c r="DF54" s="52"/>
      <c r="DG54" s="52"/>
      <c r="DH54" s="52"/>
      <c r="DI54" s="52"/>
      <c r="DJ54" s="52"/>
      <c r="DK54" s="52"/>
      <c r="DL54" s="52"/>
      <c r="DM54" s="52"/>
      <c r="DN54" s="52"/>
      <c r="DO54" s="52"/>
      <c r="DP54" s="52"/>
      <c r="DQ54" s="52"/>
      <c r="DR54" s="52"/>
      <c r="DS54" s="52"/>
      <c r="DT54" s="52"/>
      <c r="DU54" s="52"/>
      <c r="DV54" s="52"/>
      <c r="DW54" s="52"/>
      <c r="DX54" s="52"/>
      <c r="DY54" s="52"/>
      <c r="DZ54" s="52"/>
      <c r="EA54" s="52"/>
      <c r="EB54" s="52"/>
      <c r="EC54" s="52"/>
      <c r="ED54" s="52"/>
      <c r="EE54" s="52"/>
      <c r="EF54" s="52"/>
      <c r="EG54" s="52"/>
      <c r="EH54" s="52"/>
      <c r="EI54" s="52"/>
      <c r="EJ54" s="52"/>
      <c r="EK54" s="52"/>
      <c r="EL54" s="52"/>
      <c r="EM54" s="52"/>
      <c r="EN54" s="52"/>
      <c r="EO54" s="52"/>
      <c r="EP54" s="52"/>
      <c r="EQ54" s="52"/>
      <c r="ER54" s="52"/>
      <c r="ES54" s="52"/>
      <c r="ET54" s="52"/>
      <c r="EU54" s="52"/>
      <c r="EV54" s="52"/>
      <c r="EW54" s="52"/>
      <c r="EX54" s="52"/>
      <c r="EY54" s="52"/>
      <c r="EZ54" s="52"/>
      <c r="FA54" s="52"/>
      <c r="FB54" s="52"/>
      <c r="FC54" s="52"/>
      <c r="FD54" s="52"/>
      <c r="FE54" s="52"/>
      <c r="FF54" s="52"/>
      <c r="FG54" s="52"/>
      <c r="FH54" s="52"/>
      <c r="FI54" s="52"/>
      <c r="FJ54" s="52"/>
      <c r="FK54" s="52"/>
      <c r="FL54" s="52"/>
      <c r="FM54" s="52"/>
      <c r="FN54" s="52"/>
      <c r="FO54" s="52"/>
      <c r="FP54" s="52"/>
      <c r="FQ54" s="52"/>
      <c r="FR54" s="52"/>
      <c r="FS54" s="52"/>
      <c r="FT54" s="52"/>
      <c r="FU54" s="52"/>
    </row>
    <row r="55" spans="1:177" ht="11.25" customHeight="1">
      <c r="A55" s="215"/>
      <c r="B55" s="127" t="s">
        <v>136</v>
      </c>
      <c r="C55" s="183" t="s">
        <v>137</v>
      </c>
      <c r="D55" s="129"/>
      <c r="E55" s="128" t="s">
        <v>149</v>
      </c>
      <c r="F55" s="131"/>
      <c r="G55" s="132"/>
      <c r="H55" s="133"/>
      <c r="I55" s="134"/>
      <c r="J55" s="226"/>
      <c r="K55" s="226"/>
      <c r="L55" s="226"/>
      <c r="M55" s="226"/>
      <c r="N55" s="226"/>
      <c r="O55" s="439"/>
      <c r="P55" s="226"/>
      <c r="Q55" s="18"/>
      <c r="R55" s="18"/>
      <c r="S55" s="226"/>
      <c r="T55" s="167"/>
      <c r="U55" s="167"/>
      <c r="V55" s="167"/>
      <c r="W55" s="167" t="s">
        <v>88</v>
      </c>
      <c r="X55" s="167" t="s">
        <v>89</v>
      </c>
      <c r="Y55" s="167"/>
      <c r="Z55" s="167" t="s">
        <v>88</v>
      </c>
      <c r="AA55" s="782" t="s">
        <v>89</v>
      </c>
      <c r="AB55" s="232"/>
      <c r="AC55" s="97"/>
      <c r="AD55" s="226"/>
      <c r="AE55" s="226"/>
      <c r="AF55" s="226"/>
      <c r="AG55" s="226"/>
      <c r="AH55" s="226"/>
      <c r="AI55" s="226"/>
      <c r="AJ55" s="226"/>
      <c r="AK55" s="226"/>
      <c r="AL55" s="226"/>
      <c r="AM55" s="226"/>
      <c r="AN55" s="226"/>
      <c r="AO55" s="226"/>
      <c r="AP55" s="52"/>
      <c r="AQ55" s="13" t="s">
        <v>704</v>
      </c>
      <c r="AR55" s="52"/>
      <c r="AS55" s="52"/>
      <c r="AT55" s="52"/>
      <c r="AU55" s="52"/>
      <c r="AV55" s="52"/>
      <c r="AW55" s="52"/>
      <c r="AX55" s="52"/>
      <c r="AY55" s="52"/>
      <c r="AZ55" s="52"/>
      <c r="BA55" s="52"/>
      <c r="BB55" s="52"/>
      <c r="BC55" s="52"/>
      <c r="BD55" s="52"/>
      <c r="BE55" s="52"/>
      <c r="BF55" s="52"/>
      <c r="BG55" s="52"/>
      <c r="BH55" s="52"/>
      <c r="BI55" s="52"/>
      <c r="BJ55" s="52"/>
      <c r="BK55" s="52"/>
      <c r="BL55" s="52"/>
      <c r="BM55" s="52"/>
      <c r="BN55" s="52"/>
      <c r="BO55" s="52"/>
      <c r="BP55" s="52"/>
      <c r="BQ55" s="52"/>
      <c r="BR55" s="52"/>
      <c r="BS55" s="52"/>
      <c r="BT55" s="52"/>
      <c r="BU55" s="52"/>
      <c r="BV55" s="52"/>
      <c r="BW55" s="52"/>
      <c r="BX55" s="52"/>
      <c r="BY55" s="52"/>
      <c r="BZ55" s="52"/>
      <c r="CA55" s="52"/>
      <c r="CB55" s="52"/>
      <c r="CC55" s="52"/>
      <c r="CD55" s="52"/>
      <c r="CE55" s="52"/>
      <c r="CF55" s="52"/>
      <c r="CG55" s="52"/>
      <c r="CH55" s="52"/>
      <c r="CI55" s="52"/>
      <c r="CJ55" s="52"/>
      <c r="CK55" s="52"/>
      <c r="CL55" s="52"/>
      <c r="CM55" s="52"/>
      <c r="CN55" s="52"/>
      <c r="CO55" s="52"/>
      <c r="CP55" s="52"/>
      <c r="CQ55" s="52"/>
      <c r="CR55" s="52"/>
      <c r="CS55" s="52"/>
      <c r="CT55" s="52"/>
      <c r="CU55" s="52"/>
      <c r="CV55" s="52"/>
      <c r="CW55" s="52"/>
      <c r="CX55" s="52"/>
      <c r="CY55" s="52"/>
      <c r="CZ55" s="52"/>
      <c r="DA55" s="52"/>
      <c r="DB55" s="52"/>
      <c r="DC55" s="52"/>
      <c r="DD55" s="52"/>
      <c r="DE55" s="52"/>
      <c r="DF55" s="52"/>
      <c r="DG55" s="52"/>
      <c r="DH55" s="52"/>
      <c r="DI55" s="52"/>
      <c r="DJ55" s="52"/>
      <c r="DK55" s="52"/>
      <c r="DL55" s="52"/>
      <c r="DM55" s="52"/>
      <c r="DN55" s="52"/>
      <c r="DO55" s="52"/>
      <c r="DP55" s="52"/>
      <c r="DQ55" s="52"/>
      <c r="DR55" s="52"/>
      <c r="DS55" s="52"/>
      <c r="DT55" s="52"/>
      <c r="DU55" s="52"/>
      <c r="DV55" s="52"/>
      <c r="DW55" s="52"/>
      <c r="DX55" s="52"/>
      <c r="DY55" s="52"/>
      <c r="DZ55" s="52"/>
      <c r="EA55" s="52"/>
      <c r="EB55" s="52"/>
      <c r="EC55" s="52"/>
      <c r="ED55" s="52"/>
      <c r="EE55" s="52"/>
      <c r="EF55" s="52"/>
      <c r="EG55" s="52"/>
      <c r="EH55" s="52"/>
      <c r="EI55" s="52"/>
      <c r="EJ55" s="52"/>
      <c r="EK55" s="52"/>
      <c r="EL55" s="52"/>
      <c r="EM55" s="52"/>
      <c r="EN55" s="52"/>
      <c r="EO55" s="52"/>
      <c r="EP55" s="52"/>
      <c r="EQ55" s="52"/>
      <c r="ER55" s="52"/>
      <c r="ES55" s="52"/>
      <c r="ET55" s="52"/>
      <c r="EU55" s="52"/>
      <c r="EV55" s="52"/>
      <c r="EW55" s="52"/>
      <c r="EX55" s="52"/>
      <c r="EY55" s="52"/>
      <c r="EZ55" s="52"/>
      <c r="FA55" s="52"/>
      <c r="FB55" s="52"/>
      <c r="FC55" s="52"/>
      <c r="FD55" s="52"/>
      <c r="FE55" s="52"/>
      <c r="FF55" s="52"/>
      <c r="FG55" s="52"/>
      <c r="FH55" s="52"/>
      <c r="FI55" s="52"/>
      <c r="FJ55" s="52"/>
      <c r="FK55" s="52"/>
      <c r="FL55" s="52"/>
      <c r="FM55" s="52"/>
      <c r="FN55" s="52"/>
      <c r="FO55" s="52"/>
      <c r="FP55" s="52"/>
      <c r="FQ55" s="52"/>
      <c r="FR55" s="52"/>
      <c r="FS55" s="52"/>
      <c r="FT55" s="52"/>
      <c r="FU55" s="52"/>
    </row>
    <row r="56" spans="1:177" ht="11.25" customHeight="1">
      <c r="A56" s="215"/>
      <c r="B56" s="127" t="s">
        <v>134</v>
      </c>
      <c r="C56" s="185" t="s">
        <v>144</v>
      </c>
      <c r="D56" s="186"/>
      <c r="E56" s="187" t="s">
        <v>145</v>
      </c>
      <c r="F56" s="188"/>
      <c r="G56" s="189" t="s">
        <v>146</v>
      </c>
      <c r="H56" s="190"/>
      <c r="I56" s="87"/>
      <c r="J56" s="18"/>
      <c r="K56" s="10"/>
      <c r="L56" s="10"/>
      <c r="M56" s="10"/>
      <c r="N56" s="10"/>
      <c r="O56" s="98"/>
      <c r="P56" s="10"/>
      <c r="S56" s="10"/>
      <c r="T56" s="167"/>
      <c r="U56" s="167"/>
      <c r="V56" s="167" t="s">
        <v>312</v>
      </c>
      <c r="W56" s="167" t="s">
        <v>295</v>
      </c>
      <c r="X56" s="167" t="s">
        <v>295</v>
      </c>
      <c r="Y56" s="167" t="s">
        <v>312</v>
      </c>
      <c r="Z56" s="167" t="s">
        <v>295</v>
      </c>
      <c r="AA56" s="167" t="s">
        <v>295</v>
      </c>
      <c r="AB56" s="167" t="s">
        <v>279</v>
      </c>
      <c r="AC56" s="13"/>
      <c r="AD56" s="10"/>
      <c r="AE56" s="10"/>
      <c r="AF56" s="10"/>
      <c r="AG56" s="10"/>
      <c r="AH56" s="10"/>
      <c r="AI56" s="10"/>
      <c r="AJ56" s="10"/>
      <c r="AK56" s="10"/>
      <c r="AL56" s="10"/>
      <c r="AM56" s="10"/>
      <c r="AN56" s="10"/>
      <c r="AO56" s="10"/>
      <c r="AP56" s="52"/>
      <c r="AQ56" s="13" t="s">
        <v>6</v>
      </c>
      <c r="AR56" s="52"/>
      <c r="AS56" s="52"/>
      <c r="AT56" s="52"/>
      <c r="AU56" s="52"/>
      <c r="AV56" s="52"/>
      <c r="AW56" s="52"/>
      <c r="AX56" s="52"/>
      <c r="AY56" s="52"/>
      <c r="AZ56" s="52"/>
      <c r="BA56" s="52"/>
      <c r="BB56" s="52"/>
      <c r="BC56" s="52"/>
      <c r="BD56" s="52"/>
      <c r="BE56" s="52"/>
      <c r="BF56" s="52"/>
      <c r="BG56" s="52"/>
      <c r="BH56" s="52"/>
      <c r="BI56" s="52"/>
      <c r="BJ56" s="52"/>
      <c r="BK56" s="52"/>
      <c r="BL56" s="52"/>
      <c r="BM56" s="52"/>
      <c r="BN56" s="52"/>
      <c r="BO56" s="52"/>
      <c r="BP56" s="52"/>
      <c r="BQ56" s="52"/>
      <c r="BR56" s="52"/>
      <c r="BS56" s="52"/>
      <c r="BT56" s="52"/>
      <c r="BU56" s="52"/>
      <c r="BV56" s="52"/>
      <c r="BW56" s="52"/>
      <c r="BX56" s="52"/>
      <c r="BY56" s="52"/>
      <c r="BZ56" s="52"/>
      <c r="CA56" s="52"/>
      <c r="CB56" s="52"/>
      <c r="CC56" s="52"/>
      <c r="CD56" s="52"/>
      <c r="CE56" s="52"/>
      <c r="CF56" s="52"/>
      <c r="CG56" s="52"/>
      <c r="CH56" s="52"/>
      <c r="CI56" s="52"/>
      <c r="CJ56" s="52"/>
      <c r="CK56" s="52"/>
      <c r="CL56" s="52"/>
      <c r="CM56" s="52"/>
      <c r="CN56" s="52"/>
      <c r="CO56" s="52"/>
      <c r="CP56" s="52"/>
      <c r="CQ56" s="52"/>
      <c r="CR56" s="52"/>
      <c r="CS56" s="52"/>
      <c r="CT56" s="52"/>
      <c r="CU56" s="52"/>
      <c r="CV56" s="52"/>
      <c r="CW56" s="52"/>
      <c r="CX56" s="52"/>
      <c r="CY56" s="52"/>
      <c r="CZ56" s="52"/>
      <c r="DA56" s="52"/>
      <c r="DB56" s="52"/>
      <c r="DC56" s="52"/>
      <c r="DD56" s="52"/>
      <c r="DE56" s="52"/>
      <c r="DF56" s="52"/>
      <c r="DG56" s="52"/>
      <c r="DH56" s="52"/>
      <c r="DI56" s="52"/>
      <c r="DJ56" s="52"/>
      <c r="DK56" s="52"/>
      <c r="DL56" s="52"/>
      <c r="DM56" s="52"/>
      <c r="DN56" s="52"/>
      <c r="DO56" s="52"/>
      <c r="DP56" s="52"/>
      <c r="DQ56" s="52"/>
      <c r="DR56" s="52"/>
      <c r="DS56" s="52"/>
      <c r="DT56" s="52"/>
      <c r="DU56" s="52"/>
      <c r="DV56" s="52"/>
      <c r="DW56" s="52"/>
      <c r="DX56" s="52"/>
      <c r="DY56" s="52"/>
      <c r="DZ56" s="52"/>
      <c r="EA56" s="52"/>
      <c r="EB56" s="52"/>
      <c r="EC56" s="52"/>
      <c r="ED56" s="52"/>
      <c r="EE56" s="52"/>
      <c r="EF56" s="52"/>
      <c r="EG56" s="52"/>
      <c r="EH56" s="52"/>
      <c r="EI56" s="52"/>
      <c r="EJ56" s="52"/>
      <c r="EK56" s="52"/>
      <c r="EL56" s="52"/>
      <c r="EM56" s="52"/>
      <c r="EN56" s="52"/>
      <c r="EO56" s="52"/>
      <c r="EP56" s="52"/>
      <c r="EQ56" s="52"/>
      <c r="ER56" s="52"/>
      <c r="ES56" s="52"/>
      <c r="ET56" s="52"/>
      <c r="EU56" s="52"/>
      <c r="EV56" s="52"/>
      <c r="EW56" s="52"/>
      <c r="EX56" s="52"/>
      <c r="EY56" s="52"/>
      <c r="EZ56" s="52"/>
      <c r="FA56" s="52"/>
      <c r="FB56" s="52"/>
      <c r="FC56" s="52"/>
      <c r="FD56" s="52"/>
      <c r="FE56" s="52"/>
      <c r="FF56" s="52"/>
      <c r="FG56" s="52"/>
      <c r="FH56" s="52"/>
      <c r="FI56" s="52"/>
      <c r="FJ56" s="52"/>
      <c r="FK56" s="52"/>
      <c r="FL56" s="52"/>
      <c r="FM56" s="52"/>
      <c r="FN56" s="52"/>
      <c r="FO56" s="52"/>
      <c r="FP56" s="52"/>
      <c r="FQ56" s="52"/>
      <c r="FR56" s="52"/>
      <c r="FS56" s="52"/>
      <c r="FT56" s="52"/>
      <c r="FU56" s="52"/>
    </row>
    <row r="57" spans="1:177" ht="11.25" customHeight="1">
      <c r="A57" s="215"/>
      <c r="B57" s="142">
        <f>'ET-luvun Laskenta'!$F$40</f>
        <v>430</v>
      </c>
      <c r="C57" s="192" t="s">
        <v>142</v>
      </c>
      <c r="D57" s="56"/>
      <c r="E57" s="193" t="s">
        <v>148</v>
      </c>
      <c r="F57" s="144"/>
      <c r="G57" s="145" t="s">
        <v>147</v>
      </c>
      <c r="H57" s="146"/>
      <c r="I57" s="147"/>
      <c r="J57" s="18"/>
      <c r="K57" s="10"/>
      <c r="L57" s="10"/>
      <c r="M57" s="10"/>
      <c r="N57" s="10"/>
      <c r="O57" s="10"/>
      <c r="P57" s="10"/>
      <c r="S57" s="10"/>
      <c r="T57" s="236"/>
      <c r="U57" s="233"/>
      <c r="V57" s="773">
        <v>3.95</v>
      </c>
      <c r="W57" s="774">
        <v>0.0645</v>
      </c>
      <c r="X57" s="774">
        <v>0.058</v>
      </c>
      <c r="Y57" s="773">
        <v>6.72</v>
      </c>
      <c r="Z57" s="774">
        <v>0.0403</v>
      </c>
      <c r="AA57" s="774">
        <v>0.0278</v>
      </c>
      <c r="AB57" s="230"/>
      <c r="AC57" s="13"/>
      <c r="AD57" s="10"/>
      <c r="AE57" s="10"/>
      <c r="AF57" s="10"/>
      <c r="AG57" s="10"/>
      <c r="AH57" s="10"/>
      <c r="AI57" s="10"/>
      <c r="AJ57" s="10"/>
      <c r="AK57" s="10"/>
      <c r="AL57" s="10"/>
      <c r="AM57" s="10"/>
      <c r="AN57" s="10"/>
      <c r="AO57" s="10"/>
      <c r="AP57" s="52"/>
      <c r="AQ57" s="226" t="s">
        <v>27</v>
      </c>
      <c r="AR57" s="52"/>
      <c r="AS57" s="52"/>
      <c r="AT57" s="52"/>
      <c r="AU57" s="52"/>
      <c r="AV57" s="52"/>
      <c r="AW57" s="52"/>
      <c r="AX57" s="52"/>
      <c r="AY57" s="52"/>
      <c r="AZ57" s="52"/>
      <c r="BA57" s="52"/>
      <c r="BB57" s="52"/>
      <c r="BC57" s="52"/>
      <c r="BD57" s="52"/>
      <c r="BE57" s="52"/>
      <c r="BF57" s="52"/>
      <c r="BG57" s="52"/>
      <c r="BH57" s="52"/>
      <c r="BI57" s="52"/>
      <c r="BJ57" s="52"/>
      <c r="BK57" s="52"/>
      <c r="BL57" s="52"/>
      <c r="BM57" s="52"/>
      <c r="BN57" s="52"/>
      <c r="BO57" s="52"/>
      <c r="BP57" s="52"/>
      <c r="BQ57" s="52"/>
      <c r="BR57" s="52"/>
      <c r="BS57" s="52"/>
      <c r="BT57" s="52"/>
      <c r="BU57" s="52"/>
      <c r="BV57" s="52"/>
      <c r="BW57" s="52"/>
      <c r="BX57" s="52"/>
      <c r="BY57" s="52"/>
      <c r="BZ57" s="52"/>
      <c r="CA57" s="52"/>
      <c r="CB57" s="52"/>
      <c r="CC57" s="52"/>
      <c r="CD57" s="52"/>
      <c r="CE57" s="52"/>
      <c r="CF57" s="52"/>
      <c r="CG57" s="52"/>
      <c r="CH57" s="52"/>
      <c r="CI57" s="52"/>
      <c r="CJ57" s="52"/>
      <c r="CK57" s="52"/>
      <c r="CL57" s="52"/>
      <c r="CM57" s="52"/>
      <c r="CN57" s="52"/>
      <c r="CO57" s="52"/>
      <c r="CP57" s="52"/>
      <c r="CQ57" s="52"/>
      <c r="CR57" s="52"/>
      <c r="CS57" s="52"/>
      <c r="CT57" s="52"/>
      <c r="CU57" s="52"/>
      <c r="CV57" s="52"/>
      <c r="CW57" s="52"/>
      <c r="CX57" s="52"/>
      <c r="CY57" s="52"/>
      <c r="CZ57" s="52"/>
      <c r="DA57" s="52"/>
      <c r="DB57" s="52"/>
      <c r="DC57" s="52"/>
      <c r="DD57" s="52"/>
      <c r="DE57" s="52"/>
      <c r="DF57" s="52"/>
      <c r="DG57" s="52"/>
      <c r="DH57" s="52"/>
      <c r="DI57" s="52"/>
      <c r="DJ57" s="52"/>
      <c r="DK57" s="52"/>
      <c r="DL57" s="52"/>
      <c r="DM57" s="52"/>
      <c r="DN57" s="52"/>
      <c r="DO57" s="52"/>
      <c r="DP57" s="52"/>
      <c r="DQ57" s="52"/>
      <c r="DR57" s="52"/>
      <c r="DS57" s="52"/>
      <c r="DT57" s="52"/>
      <c r="DU57" s="52"/>
      <c r="DV57" s="52"/>
      <c r="DW57" s="52"/>
      <c r="DX57" s="52"/>
      <c r="DY57" s="52"/>
      <c r="DZ57" s="52"/>
      <c r="EA57" s="52"/>
      <c r="EB57" s="52"/>
      <c r="EC57" s="52"/>
      <c r="ED57" s="52"/>
      <c r="EE57" s="52"/>
      <c r="EF57" s="52"/>
      <c r="EG57" s="52"/>
      <c r="EH57" s="52"/>
      <c r="EI57" s="52"/>
      <c r="EJ57" s="52"/>
      <c r="EK57" s="52"/>
      <c r="EL57" s="52"/>
      <c r="EM57" s="52"/>
      <c r="EN57" s="52"/>
      <c r="EO57" s="52"/>
      <c r="EP57" s="52"/>
      <c r="EQ57" s="52"/>
      <c r="ER57" s="52"/>
      <c r="ES57" s="52"/>
      <c r="ET57" s="52"/>
      <c r="EU57" s="52"/>
      <c r="EV57" s="52"/>
      <c r="EW57" s="52"/>
      <c r="EX57" s="52"/>
      <c r="EY57" s="52"/>
      <c r="EZ57" s="52"/>
      <c r="FA57" s="52"/>
      <c r="FB57" s="52"/>
      <c r="FC57" s="52"/>
      <c r="FD57" s="52"/>
      <c r="FE57" s="52"/>
      <c r="FF57" s="52"/>
      <c r="FG57" s="52"/>
      <c r="FH57" s="52"/>
      <c r="FI57" s="52"/>
      <c r="FJ57" s="52"/>
      <c r="FK57" s="52"/>
      <c r="FL57" s="52"/>
      <c r="FM57" s="52"/>
      <c r="FN57" s="52"/>
      <c r="FO57" s="52"/>
      <c r="FP57" s="52"/>
      <c r="FQ57" s="52"/>
      <c r="FR57" s="52"/>
      <c r="FS57" s="52"/>
      <c r="FT57" s="52"/>
      <c r="FU57" s="52"/>
    </row>
    <row r="58" spans="1:177" ht="11.25" customHeight="1">
      <c r="A58" s="215"/>
      <c r="B58" s="440"/>
      <c r="C58" s="712">
        <f>'ET-luvun Laskenta'!G41</f>
        <v>59.72222222222222</v>
      </c>
      <c r="D58" s="712">
        <f>'ET-luvun Laskenta'!H41</f>
        <v>59.72222222222222</v>
      </c>
      <c r="E58" s="712">
        <f>'ET-luvun Laskenta'!I41</f>
        <v>0.3</v>
      </c>
      <c r="F58" s="712">
        <f>'ET-luvun Laskenta'!D91/100</f>
        <v>0.78</v>
      </c>
      <c r="G58" s="441">
        <f>1.2*C58*(1-E58)</f>
        <v>50.16666666666666</v>
      </c>
      <c r="H58" s="442">
        <f>1.2*D58*(1-F58)</f>
        <v>15.766666666666662</v>
      </c>
      <c r="I58" s="87">
        <f>IF(G58=0,"",(H58-G58)/G58*100)</f>
        <v>-68.57142857142857</v>
      </c>
      <c r="J58" s="135"/>
      <c r="K58" s="10"/>
      <c r="L58" s="10"/>
      <c r="M58" s="10"/>
      <c r="N58" s="10"/>
      <c r="O58" s="10"/>
      <c r="P58" s="10"/>
      <c r="S58" s="10"/>
      <c r="T58" s="166" t="s">
        <v>303</v>
      </c>
      <c r="U58" s="97">
        <f>Z103</f>
        <v>23962.699939589584</v>
      </c>
      <c r="V58" s="226">
        <f>12*V57</f>
        <v>47.400000000000006</v>
      </c>
      <c r="W58" s="239"/>
      <c r="X58" s="239"/>
      <c r="Y58" s="226">
        <f>12*Y57</f>
        <v>80.64</v>
      </c>
      <c r="Z58" s="239"/>
      <c r="AA58" s="239"/>
      <c r="AB58" s="771">
        <f>(V58+Y58+U58*0.63*(W57+Z57)+U58*0.37*(X57+AA57))/U58</f>
        <v>0.10311330439903647</v>
      </c>
      <c r="AC58" s="13"/>
      <c r="AD58" s="10"/>
      <c r="AE58" s="10"/>
      <c r="AF58" s="10"/>
      <c r="AG58" s="10"/>
      <c r="AH58" s="10"/>
      <c r="AI58" s="10"/>
      <c r="AJ58" s="10"/>
      <c r="AK58" s="10"/>
      <c r="AL58" s="10"/>
      <c r="AM58" s="10"/>
      <c r="AN58" s="10"/>
      <c r="AO58" s="10"/>
      <c r="AP58" s="52"/>
      <c r="AQ58" s="10" t="s">
        <v>28</v>
      </c>
      <c r="AR58" s="52"/>
      <c r="AS58" s="52"/>
      <c r="AT58" s="52"/>
      <c r="AU58" s="52"/>
      <c r="AV58" s="52"/>
      <c r="AW58" s="52"/>
      <c r="AX58" s="52"/>
      <c r="AY58" s="52"/>
      <c r="AZ58" s="52"/>
      <c r="BA58" s="52"/>
      <c r="BB58" s="52"/>
      <c r="BC58" s="52"/>
      <c r="BD58" s="52"/>
      <c r="BE58" s="52"/>
      <c r="BF58" s="52"/>
      <c r="BG58" s="52"/>
      <c r="BH58" s="52"/>
      <c r="BI58" s="52"/>
      <c r="BJ58" s="52"/>
      <c r="BK58" s="52"/>
      <c r="BL58" s="52"/>
      <c r="BM58" s="52"/>
      <c r="BN58" s="52"/>
      <c r="BO58" s="52"/>
      <c r="BP58" s="52"/>
      <c r="BQ58" s="52"/>
      <c r="BR58" s="52"/>
      <c r="BS58" s="52"/>
      <c r="BT58" s="52"/>
      <c r="BU58" s="52"/>
      <c r="BV58" s="52"/>
      <c r="BW58" s="52"/>
      <c r="BX58" s="52"/>
      <c r="BY58" s="52"/>
      <c r="BZ58" s="52"/>
      <c r="CA58" s="52"/>
      <c r="CB58" s="52"/>
      <c r="CC58" s="52"/>
      <c r="CD58" s="52"/>
      <c r="CE58" s="52"/>
      <c r="CF58" s="52"/>
      <c r="CG58" s="52"/>
      <c r="CH58" s="52"/>
      <c r="CI58" s="52"/>
      <c r="CJ58" s="52"/>
      <c r="CK58" s="52"/>
      <c r="CL58" s="52"/>
      <c r="CM58" s="52"/>
      <c r="CN58" s="52"/>
      <c r="CO58" s="52"/>
      <c r="CP58" s="52"/>
      <c r="CQ58" s="52"/>
      <c r="CR58" s="52"/>
      <c r="CS58" s="52"/>
      <c r="CT58" s="52"/>
      <c r="CU58" s="52"/>
      <c r="CV58" s="52"/>
      <c r="CW58" s="52"/>
      <c r="CX58" s="52"/>
      <c r="CY58" s="52"/>
      <c r="CZ58" s="52"/>
      <c r="DA58" s="52"/>
      <c r="DB58" s="52"/>
      <c r="DC58" s="52"/>
      <c r="DD58" s="52"/>
      <c r="DE58" s="52"/>
      <c r="DF58" s="52"/>
      <c r="DG58" s="52"/>
      <c r="DH58" s="52"/>
      <c r="DI58" s="52"/>
      <c r="DJ58" s="52"/>
      <c r="DK58" s="52"/>
      <c r="DL58" s="52"/>
      <c r="DM58" s="52"/>
      <c r="DN58" s="52"/>
      <c r="DO58" s="52"/>
      <c r="DP58" s="52"/>
      <c r="DQ58" s="52"/>
      <c r="DR58" s="52"/>
      <c r="DS58" s="52"/>
      <c r="DT58" s="52"/>
      <c r="DU58" s="52"/>
      <c r="DV58" s="52"/>
      <c r="DW58" s="52"/>
      <c r="DX58" s="52"/>
      <c r="DY58" s="52"/>
      <c r="DZ58" s="52"/>
      <c r="EA58" s="52"/>
      <c r="EB58" s="52"/>
      <c r="EC58" s="52"/>
      <c r="ED58" s="52"/>
      <c r="EE58" s="52"/>
      <c r="EF58" s="52"/>
      <c r="EG58" s="52"/>
      <c r="EH58" s="52"/>
      <c r="EI58" s="52"/>
      <c r="EJ58" s="52"/>
      <c r="EK58" s="52"/>
      <c r="EL58" s="52"/>
      <c r="EM58" s="52"/>
      <c r="EN58" s="52"/>
      <c r="EO58" s="52"/>
      <c r="EP58" s="52"/>
      <c r="EQ58" s="52"/>
      <c r="ER58" s="52"/>
      <c r="ES58" s="52"/>
      <c r="ET58" s="52"/>
      <c r="EU58" s="52"/>
      <c r="EV58" s="52"/>
      <c r="EW58" s="52"/>
      <c r="EX58" s="52"/>
      <c r="EY58" s="52"/>
      <c r="EZ58" s="52"/>
      <c r="FA58" s="52"/>
      <c r="FB58" s="52"/>
      <c r="FC58" s="52"/>
      <c r="FD58" s="52"/>
      <c r="FE58" s="52"/>
      <c r="FF58" s="52"/>
      <c r="FG58" s="52"/>
      <c r="FH58" s="52"/>
      <c r="FI58" s="52"/>
      <c r="FJ58" s="52"/>
      <c r="FK58" s="52"/>
      <c r="FL58" s="52"/>
      <c r="FM58" s="52"/>
      <c r="FN58" s="52"/>
      <c r="FO58" s="52"/>
      <c r="FP58" s="52"/>
      <c r="FQ58" s="52"/>
      <c r="FR58" s="52"/>
      <c r="FS58" s="52"/>
      <c r="FT58" s="52"/>
      <c r="FU58" s="52"/>
    </row>
    <row r="59" spans="1:177" ht="11.25" customHeight="1">
      <c r="A59" s="215"/>
      <c r="B59" s="268" t="s">
        <v>408</v>
      </c>
      <c r="C59" s="448"/>
      <c r="D59" s="448"/>
      <c r="E59" s="448"/>
      <c r="F59" s="448"/>
      <c r="G59" s="268"/>
      <c r="H59" s="727"/>
      <c r="I59" s="268"/>
      <c r="J59" s="135"/>
      <c r="K59" s="10"/>
      <c r="L59" s="10"/>
      <c r="M59" s="10"/>
      <c r="N59" s="10"/>
      <c r="O59" s="10"/>
      <c r="P59" s="10"/>
      <c r="S59" s="10"/>
      <c r="T59" s="166" t="s">
        <v>304</v>
      </c>
      <c r="U59" s="97">
        <f>Z93</f>
        <v>10000.000000000002</v>
      </c>
      <c r="V59" s="226">
        <f>12*V57</f>
        <v>47.400000000000006</v>
      </c>
      <c r="W59" s="239"/>
      <c r="X59" s="239"/>
      <c r="Y59" s="226">
        <f>12*Y57</f>
        <v>80.64</v>
      </c>
      <c r="Z59" s="239"/>
      <c r="AA59" s="239"/>
      <c r="AB59" s="771">
        <f>(V59+Y59+U59*0.63*(W57+Z57)+U59*0.37*(X57+AA57))/U59</f>
        <v>0.110574</v>
      </c>
      <c r="AC59" s="13"/>
      <c r="AD59" s="10"/>
      <c r="AE59" s="10"/>
      <c r="AF59" s="10"/>
      <c r="AG59" s="10"/>
      <c r="AH59" s="10"/>
      <c r="AI59" s="10"/>
      <c r="AJ59" s="10"/>
      <c r="AK59" s="10"/>
      <c r="AL59" s="10"/>
      <c r="AM59" s="10"/>
      <c r="AN59" s="10"/>
      <c r="AO59" s="10"/>
      <c r="AP59" s="52"/>
      <c r="AQ59" s="10" t="s">
        <v>29</v>
      </c>
      <c r="AR59" s="52"/>
      <c r="AS59" s="52"/>
      <c r="AT59" s="52"/>
      <c r="AU59" s="52"/>
      <c r="AV59" s="52"/>
      <c r="AW59" s="52"/>
      <c r="AX59" s="52"/>
      <c r="AY59" s="52"/>
      <c r="AZ59" s="52"/>
      <c r="BA59" s="52"/>
      <c r="BB59" s="52"/>
      <c r="BC59" s="52"/>
      <c r="BD59" s="52"/>
      <c r="BE59" s="52"/>
      <c r="BF59" s="52"/>
      <c r="BG59" s="52"/>
      <c r="BH59" s="52"/>
      <c r="BI59" s="52"/>
      <c r="BJ59" s="52"/>
      <c r="BK59" s="52"/>
      <c r="BL59" s="52"/>
      <c r="BM59" s="52"/>
      <c r="BN59" s="52"/>
      <c r="BO59" s="52"/>
      <c r="BP59" s="52"/>
      <c r="BQ59" s="52"/>
      <c r="BR59" s="52"/>
      <c r="BS59" s="52"/>
      <c r="BT59" s="52"/>
      <c r="BU59" s="52"/>
      <c r="BV59" s="52"/>
      <c r="BW59" s="52"/>
      <c r="BX59" s="52"/>
      <c r="BY59" s="52"/>
      <c r="BZ59" s="52"/>
      <c r="CA59" s="52"/>
      <c r="CB59" s="52"/>
      <c r="CC59" s="52"/>
      <c r="CD59" s="52"/>
      <c r="CE59" s="52"/>
      <c r="CF59" s="52"/>
      <c r="CG59" s="52"/>
      <c r="CH59" s="52"/>
      <c r="CI59" s="52"/>
      <c r="CJ59" s="52"/>
      <c r="CK59" s="52"/>
      <c r="CL59" s="52"/>
      <c r="CM59" s="52"/>
      <c r="CN59" s="52"/>
      <c r="CO59" s="52"/>
      <c r="CP59" s="52"/>
      <c r="CQ59" s="52"/>
      <c r="CR59" s="52"/>
      <c r="CS59" s="52"/>
      <c r="CT59" s="52"/>
      <c r="CU59" s="52"/>
      <c r="CV59" s="52"/>
      <c r="CW59" s="52"/>
      <c r="CX59" s="52"/>
      <c r="CY59" s="52"/>
      <c r="CZ59" s="52"/>
      <c r="DA59" s="52"/>
      <c r="DB59" s="52"/>
      <c r="DC59" s="52"/>
      <c r="DD59" s="52"/>
      <c r="DE59" s="52"/>
      <c r="DF59" s="52"/>
      <c r="DG59" s="52"/>
      <c r="DH59" s="52"/>
      <c r="DI59" s="52"/>
      <c r="DJ59" s="52"/>
      <c r="DK59" s="52"/>
      <c r="DL59" s="52"/>
      <c r="DM59" s="52"/>
      <c r="DN59" s="52"/>
      <c r="DO59" s="52"/>
      <c r="DP59" s="52"/>
      <c r="DQ59" s="52"/>
      <c r="DR59" s="52"/>
      <c r="DS59" s="52"/>
      <c r="DT59" s="52"/>
      <c r="DU59" s="52"/>
      <c r="DV59" s="52"/>
      <c r="DW59" s="52"/>
      <c r="DX59" s="52"/>
      <c r="DY59" s="52"/>
      <c r="DZ59" s="52"/>
      <c r="EA59" s="52"/>
      <c r="EB59" s="52"/>
      <c r="EC59" s="52"/>
      <c r="ED59" s="52"/>
      <c r="EE59" s="52"/>
      <c r="EF59" s="52"/>
      <c r="EG59" s="52"/>
      <c r="EH59" s="52"/>
      <c r="EI59" s="52"/>
      <c r="EJ59" s="52"/>
      <c r="EK59" s="52"/>
      <c r="EL59" s="52"/>
      <c r="EM59" s="52"/>
      <c r="EN59" s="52"/>
      <c r="EO59" s="52"/>
      <c r="EP59" s="52"/>
      <c r="EQ59" s="52"/>
      <c r="ER59" s="52"/>
      <c r="ES59" s="52"/>
      <c r="ET59" s="52"/>
      <c r="EU59" s="52"/>
      <c r="EV59" s="52"/>
      <c r="EW59" s="52"/>
      <c r="EX59" s="52"/>
      <c r="EY59" s="52"/>
      <c r="EZ59" s="52"/>
      <c r="FA59" s="52"/>
      <c r="FB59" s="52"/>
      <c r="FC59" s="52"/>
      <c r="FD59" s="52"/>
      <c r="FE59" s="52"/>
      <c r="FF59" s="52"/>
      <c r="FG59" s="52"/>
      <c r="FH59" s="52"/>
      <c r="FI59" s="52"/>
      <c r="FJ59" s="52"/>
      <c r="FK59" s="52"/>
      <c r="FL59" s="52"/>
      <c r="FM59" s="52"/>
      <c r="FN59" s="52"/>
      <c r="FO59" s="52"/>
      <c r="FP59" s="52"/>
      <c r="FQ59" s="52"/>
      <c r="FR59" s="52"/>
      <c r="FS59" s="52"/>
      <c r="FT59" s="52"/>
      <c r="FU59" s="52"/>
    </row>
    <row r="60" spans="1:177" ht="11.25" customHeight="1">
      <c r="A60" s="209"/>
      <c r="B60" s="731"/>
      <c r="C60" s="732"/>
      <c r="D60" s="732"/>
      <c r="E60" s="732"/>
      <c r="F60" s="732"/>
      <c r="G60" s="733"/>
      <c r="H60" s="734"/>
      <c r="I60" s="844">
        <f>IF(G60=0,"",(H60-G60)/G60*100)</f>
      </c>
      <c r="J60" s="135"/>
      <c r="K60" s="10"/>
      <c r="L60" s="10"/>
      <c r="M60" s="10"/>
      <c r="N60" s="10"/>
      <c r="O60" s="10"/>
      <c r="P60" s="10"/>
      <c r="S60" s="10"/>
      <c r="T60" s="230" t="s">
        <v>305</v>
      </c>
      <c r="U60" s="233">
        <f>Z111</f>
        <v>13490.674984897396</v>
      </c>
      <c r="V60" s="775">
        <f>12*V57</f>
        <v>47.400000000000006</v>
      </c>
      <c r="W60" s="237"/>
      <c r="X60" s="237"/>
      <c r="Y60" s="775">
        <f>12*Y57</f>
        <v>80.64</v>
      </c>
      <c r="Z60" s="237"/>
      <c r="AA60" s="237"/>
      <c r="AB60" s="772">
        <f>(V60+Y60+U60*0.63*(W57+Z57)+U60*0.37*(X57+AA57))/U60</f>
        <v>0.1072610002756229</v>
      </c>
      <c r="AC60" s="13"/>
      <c r="AD60" s="10"/>
      <c r="AE60" s="10"/>
      <c r="AF60" s="10"/>
      <c r="AG60" s="10"/>
      <c r="AH60" s="10"/>
      <c r="AI60" s="10"/>
      <c r="AJ60" s="10"/>
      <c r="AK60" s="10"/>
      <c r="AL60" s="10"/>
      <c r="AM60" s="10"/>
      <c r="AN60" s="10"/>
      <c r="AO60" s="10"/>
      <c r="AP60" s="52"/>
      <c r="AQ60" s="234" t="s">
        <v>10</v>
      </c>
      <c r="AR60" s="52"/>
      <c r="AS60" s="52"/>
      <c r="AT60" s="52"/>
      <c r="AU60" s="52"/>
      <c r="AV60" s="52"/>
      <c r="AW60" s="52"/>
      <c r="AX60" s="52"/>
      <c r="AY60" s="52"/>
      <c r="AZ60" s="52"/>
      <c r="BA60" s="52"/>
      <c r="BB60" s="52"/>
      <c r="BC60" s="52"/>
      <c r="BD60" s="52"/>
      <c r="BE60" s="52"/>
      <c r="BF60" s="52"/>
      <c r="BG60" s="52"/>
      <c r="BH60" s="52"/>
      <c r="BI60" s="52"/>
      <c r="BJ60" s="52"/>
      <c r="BK60" s="52"/>
      <c r="BL60" s="52"/>
      <c r="BM60" s="52"/>
      <c r="BN60" s="52"/>
      <c r="BO60" s="52"/>
      <c r="BP60" s="52"/>
      <c r="BQ60" s="52"/>
      <c r="BR60" s="52"/>
      <c r="BS60" s="52"/>
      <c r="BT60" s="52"/>
      <c r="BU60" s="52"/>
      <c r="BV60" s="52"/>
      <c r="BW60" s="52"/>
      <c r="BX60" s="52"/>
      <c r="BY60" s="52"/>
      <c r="BZ60" s="52"/>
      <c r="CA60" s="52"/>
      <c r="CB60" s="52"/>
      <c r="CC60" s="52"/>
      <c r="CD60" s="52"/>
      <c r="CE60" s="52"/>
      <c r="CF60" s="52"/>
      <c r="CG60" s="52"/>
      <c r="CH60" s="52"/>
      <c r="CI60" s="52"/>
      <c r="CJ60" s="52"/>
      <c r="CK60" s="52"/>
      <c r="CL60" s="52"/>
      <c r="CM60" s="52"/>
      <c r="CN60" s="52"/>
      <c r="CO60" s="52"/>
      <c r="CP60" s="52"/>
      <c r="CQ60" s="52"/>
      <c r="CR60" s="52"/>
      <c r="CS60" s="52"/>
      <c r="CT60" s="52"/>
      <c r="CU60" s="52"/>
      <c r="CV60" s="52"/>
      <c r="CW60" s="52"/>
      <c r="CX60" s="52"/>
      <c r="CY60" s="52"/>
      <c r="CZ60" s="52"/>
      <c r="DA60" s="52"/>
      <c r="DB60" s="52"/>
      <c r="DC60" s="52"/>
      <c r="DD60" s="52"/>
      <c r="DE60" s="52"/>
      <c r="DF60" s="52"/>
      <c r="DG60" s="52"/>
      <c r="DH60" s="52"/>
      <c r="DI60" s="52"/>
      <c r="DJ60" s="52"/>
      <c r="DK60" s="52"/>
      <c r="DL60" s="52"/>
      <c r="DM60" s="52"/>
      <c r="DN60" s="52"/>
      <c r="DO60" s="52"/>
      <c r="DP60" s="52"/>
      <c r="DQ60" s="52"/>
      <c r="DR60" s="52"/>
      <c r="DS60" s="52"/>
      <c r="DT60" s="52"/>
      <c r="DU60" s="52"/>
      <c r="DV60" s="52"/>
      <c r="DW60" s="52"/>
      <c r="DX60" s="52"/>
      <c r="DY60" s="52"/>
      <c r="DZ60" s="52"/>
      <c r="EA60" s="52"/>
      <c r="EB60" s="52"/>
      <c r="EC60" s="52"/>
      <c r="ED60" s="52"/>
      <c r="EE60" s="52"/>
      <c r="EF60" s="52"/>
      <c r="EG60" s="52"/>
      <c r="EH60" s="52"/>
      <c r="EI60" s="52"/>
      <c r="EJ60" s="52"/>
      <c r="EK60" s="52"/>
      <c r="EL60" s="52"/>
      <c r="EM60" s="52"/>
      <c r="EN60" s="52"/>
      <c r="EO60" s="52"/>
      <c r="EP60" s="52"/>
      <c r="EQ60" s="52"/>
      <c r="ER60" s="52"/>
      <c r="ES60" s="52"/>
      <c r="ET60" s="52"/>
      <c r="EU60" s="52"/>
      <c r="EV60" s="52"/>
      <c r="EW60" s="52"/>
      <c r="EX60" s="52"/>
      <c r="EY60" s="52"/>
      <c r="EZ60" s="52"/>
      <c r="FA60" s="52"/>
      <c r="FB60" s="52"/>
      <c r="FC60" s="52"/>
      <c r="FD60" s="52"/>
      <c r="FE60" s="52"/>
      <c r="FF60" s="52"/>
      <c r="FG60" s="52"/>
      <c r="FH60" s="52"/>
      <c r="FI60" s="52"/>
      <c r="FJ60" s="52"/>
      <c r="FK60" s="52"/>
      <c r="FL60" s="52"/>
      <c r="FM60" s="52"/>
      <c r="FN60" s="52"/>
      <c r="FO60" s="52"/>
      <c r="FP60" s="52"/>
      <c r="FQ60" s="52"/>
      <c r="FR60" s="52"/>
      <c r="FS60" s="52"/>
      <c r="FT60" s="52"/>
      <c r="FU60" s="52"/>
    </row>
    <row r="61" spans="1:177" ht="11.25" customHeight="1">
      <c r="A61" s="215"/>
      <c r="B61" s="169" t="s">
        <v>159</v>
      </c>
      <c r="C61" s="201"/>
      <c r="D61" s="202"/>
      <c r="E61" s="202"/>
      <c r="F61" s="202"/>
      <c r="G61" s="172">
        <f>SUM(G58)</f>
        <v>50.16666666666666</v>
      </c>
      <c r="H61" s="121">
        <f>SUM(H58)</f>
        <v>15.766666666666662</v>
      </c>
      <c r="I61" s="843">
        <f>IF(G61=0,"",(H61-G61)/G61*100)</f>
        <v>-68.57142857142857</v>
      </c>
      <c r="J61" s="18"/>
      <c r="K61" s="10"/>
      <c r="L61" s="10"/>
      <c r="M61" s="10"/>
      <c r="N61" s="10"/>
      <c r="O61" s="10"/>
      <c r="P61" s="10"/>
      <c r="S61" s="10"/>
      <c r="T61" s="10"/>
      <c r="U61" s="10"/>
      <c r="V61" s="10"/>
      <c r="W61" s="10"/>
      <c r="X61" s="10"/>
      <c r="Y61" s="10"/>
      <c r="Z61" s="10"/>
      <c r="AA61" s="10"/>
      <c r="AB61" s="10"/>
      <c r="AC61" s="13"/>
      <c r="AD61" s="10"/>
      <c r="AE61" s="10"/>
      <c r="AF61" s="10"/>
      <c r="AG61" s="10"/>
      <c r="AH61" s="10"/>
      <c r="AI61" s="10"/>
      <c r="AJ61" s="10"/>
      <c r="AK61" s="10"/>
      <c r="AL61" s="10"/>
      <c r="AM61" s="10"/>
      <c r="AN61" s="10"/>
      <c r="AO61" s="10"/>
      <c r="AP61" s="52"/>
      <c r="AQ61" s="10" t="s">
        <v>11</v>
      </c>
      <c r="AR61" s="52"/>
      <c r="AS61" s="52"/>
      <c r="AT61" s="52"/>
      <c r="AU61" s="52"/>
      <c r="AV61" s="52"/>
      <c r="AW61" s="52"/>
      <c r="AX61" s="52"/>
      <c r="AY61" s="52"/>
      <c r="AZ61" s="52"/>
      <c r="BA61" s="52"/>
      <c r="BB61" s="52"/>
      <c r="BC61" s="52"/>
      <c r="BD61" s="52"/>
      <c r="BE61" s="52"/>
      <c r="BF61" s="52"/>
      <c r="BG61" s="52"/>
      <c r="BH61" s="52"/>
      <c r="BI61" s="52"/>
      <c r="BJ61" s="52"/>
      <c r="BK61" s="52"/>
      <c r="BL61" s="52"/>
      <c r="BM61" s="52"/>
      <c r="BN61" s="52"/>
      <c r="BO61" s="52"/>
      <c r="BP61" s="52"/>
      <c r="BQ61" s="52"/>
      <c r="BR61" s="52"/>
      <c r="BS61" s="52"/>
      <c r="BT61" s="52"/>
      <c r="BU61" s="52"/>
      <c r="BV61" s="52"/>
      <c r="BW61" s="52"/>
      <c r="BX61" s="52"/>
      <c r="BY61" s="52"/>
      <c r="BZ61" s="52"/>
      <c r="CA61" s="52"/>
      <c r="CB61" s="52"/>
      <c r="CC61" s="52"/>
      <c r="CD61" s="52"/>
      <c r="CE61" s="52"/>
      <c r="CF61" s="52"/>
      <c r="CG61" s="52"/>
      <c r="CH61" s="52"/>
      <c r="CI61" s="52"/>
      <c r="CJ61" s="52"/>
      <c r="CK61" s="52"/>
      <c r="CL61" s="52"/>
      <c r="CM61" s="52"/>
      <c r="CN61" s="52"/>
      <c r="CO61" s="52"/>
      <c r="CP61" s="52"/>
      <c r="CQ61" s="52"/>
      <c r="CR61" s="52"/>
      <c r="CS61" s="52"/>
      <c r="CT61" s="52"/>
      <c r="CU61" s="52"/>
      <c r="CV61" s="52"/>
      <c r="CW61" s="52"/>
      <c r="CX61" s="52"/>
      <c r="CY61" s="52"/>
      <c r="CZ61" s="52"/>
      <c r="DA61" s="52"/>
      <c r="DB61" s="52"/>
      <c r="DC61" s="52"/>
      <c r="DD61" s="52"/>
      <c r="DE61" s="52"/>
      <c r="DF61" s="52"/>
      <c r="DG61" s="52"/>
      <c r="DH61" s="52"/>
      <c r="DI61" s="52"/>
      <c r="DJ61" s="52"/>
      <c r="DK61" s="52"/>
      <c r="DL61" s="52"/>
      <c r="DM61" s="52"/>
      <c r="DN61" s="52"/>
      <c r="DO61" s="52"/>
      <c r="DP61" s="52"/>
      <c r="DQ61" s="52"/>
      <c r="DR61" s="52"/>
      <c r="DS61" s="52"/>
      <c r="DT61" s="52"/>
      <c r="DU61" s="52"/>
      <c r="DV61" s="52"/>
      <c r="DW61" s="52"/>
      <c r="DX61" s="52"/>
      <c r="DY61" s="52"/>
      <c r="DZ61" s="52"/>
      <c r="EA61" s="52"/>
      <c r="EB61" s="52"/>
      <c r="EC61" s="52"/>
      <c r="ED61" s="52"/>
      <c r="EE61" s="52"/>
      <c r="EF61" s="52"/>
      <c r="EG61" s="52"/>
      <c r="EH61" s="52"/>
      <c r="EI61" s="52"/>
      <c r="EJ61" s="52"/>
      <c r="EK61" s="52"/>
      <c r="EL61" s="52"/>
      <c r="EM61" s="52"/>
      <c r="EN61" s="52"/>
      <c r="EO61" s="52"/>
      <c r="EP61" s="52"/>
      <c r="EQ61" s="52"/>
      <c r="ER61" s="52"/>
      <c r="ES61" s="52"/>
      <c r="ET61" s="52"/>
      <c r="EU61" s="52"/>
      <c r="EV61" s="52"/>
      <c r="EW61" s="52"/>
      <c r="EX61" s="52"/>
      <c r="EY61" s="52"/>
      <c r="EZ61" s="52"/>
      <c r="FA61" s="52"/>
      <c r="FB61" s="52"/>
      <c r="FC61" s="52"/>
      <c r="FD61" s="52"/>
      <c r="FE61" s="52"/>
      <c r="FF61" s="52"/>
      <c r="FG61" s="52"/>
      <c r="FH61" s="52"/>
      <c r="FI61" s="52"/>
      <c r="FJ61" s="52"/>
      <c r="FK61" s="52"/>
      <c r="FL61" s="52"/>
      <c r="FM61" s="52"/>
      <c r="FN61" s="52"/>
      <c r="FO61" s="52"/>
      <c r="FP61" s="52"/>
      <c r="FQ61" s="52"/>
      <c r="FR61" s="52"/>
      <c r="FS61" s="52"/>
      <c r="FT61" s="52"/>
      <c r="FU61" s="52"/>
    </row>
    <row r="62" spans="1:177" ht="11.25" customHeight="1">
      <c r="A62" s="215"/>
      <c r="B62" s="176"/>
      <c r="C62" s="205"/>
      <c r="D62" s="206"/>
      <c r="E62" s="206"/>
      <c r="F62" s="206"/>
      <c r="G62" s="179"/>
      <c r="H62" s="207"/>
      <c r="I62" s="181"/>
      <c r="J62" s="238"/>
      <c r="K62" s="35"/>
      <c r="L62" s="35"/>
      <c r="M62" s="35"/>
      <c r="N62" s="35"/>
      <c r="O62" s="35"/>
      <c r="P62" s="35"/>
      <c r="Q62" s="35"/>
      <c r="R62" s="35"/>
      <c r="S62" s="35"/>
      <c r="T62" s="10"/>
      <c r="U62" s="98"/>
      <c r="V62" s="10"/>
      <c r="W62" s="10"/>
      <c r="X62" s="10"/>
      <c r="Y62" s="10"/>
      <c r="Z62" s="10"/>
      <c r="AA62" s="10"/>
      <c r="AB62" s="13"/>
      <c r="AC62" s="13"/>
      <c r="AD62" s="35"/>
      <c r="AE62" s="35"/>
      <c r="AF62" s="35"/>
      <c r="AG62" s="35"/>
      <c r="AH62" s="35"/>
      <c r="AI62" s="35"/>
      <c r="AJ62" s="35"/>
      <c r="AK62" s="35"/>
      <c r="AL62" s="35"/>
      <c r="AM62" s="35"/>
      <c r="AN62" s="35"/>
      <c r="AO62" s="35"/>
      <c r="AP62" s="52"/>
      <c r="AQ62" s="13" t="s">
        <v>33</v>
      </c>
      <c r="AR62" s="52"/>
      <c r="AS62" s="52"/>
      <c r="AT62" s="52"/>
      <c r="AU62" s="52"/>
      <c r="AV62" s="52"/>
      <c r="AW62" s="52"/>
      <c r="AX62" s="52"/>
      <c r="AY62" s="52"/>
      <c r="AZ62" s="52"/>
      <c r="BA62" s="52"/>
      <c r="BB62" s="52"/>
      <c r="BC62" s="52"/>
      <c r="BD62" s="52"/>
      <c r="BE62" s="52"/>
      <c r="BF62" s="52"/>
      <c r="BG62" s="52"/>
      <c r="BH62" s="52"/>
      <c r="BI62" s="52"/>
      <c r="BJ62" s="52"/>
      <c r="BK62" s="52"/>
      <c r="BL62" s="52"/>
      <c r="BM62" s="52"/>
      <c r="BN62" s="52"/>
      <c r="BO62" s="52"/>
      <c r="BP62" s="52"/>
      <c r="BQ62" s="52"/>
      <c r="BR62" s="52"/>
      <c r="BS62" s="52"/>
      <c r="BT62" s="52"/>
      <c r="BU62" s="52"/>
      <c r="BV62" s="52"/>
      <c r="BW62" s="52"/>
      <c r="BX62" s="52"/>
      <c r="BY62" s="52"/>
      <c r="BZ62" s="52"/>
      <c r="CA62" s="52"/>
      <c r="CB62" s="52"/>
      <c r="CC62" s="52"/>
      <c r="CD62" s="52"/>
      <c r="CE62" s="52"/>
      <c r="CF62" s="52"/>
      <c r="CG62" s="52"/>
      <c r="CH62" s="52"/>
      <c r="CI62" s="52"/>
      <c r="CJ62" s="52"/>
      <c r="CK62" s="52"/>
      <c r="CL62" s="52"/>
      <c r="CM62" s="52"/>
      <c r="CN62" s="52"/>
      <c r="CO62" s="52"/>
      <c r="CP62" s="52"/>
      <c r="CQ62" s="52"/>
      <c r="CR62" s="52"/>
      <c r="CS62" s="52"/>
      <c r="CT62" s="52"/>
      <c r="CU62" s="52"/>
      <c r="CV62" s="52"/>
      <c r="CW62" s="52"/>
      <c r="CX62" s="52"/>
      <c r="CY62" s="52"/>
      <c r="CZ62" s="52"/>
      <c r="DA62" s="52"/>
      <c r="DB62" s="52"/>
      <c r="DC62" s="52"/>
      <c r="DD62" s="52"/>
      <c r="DE62" s="52"/>
      <c r="DF62" s="52"/>
      <c r="DG62" s="52"/>
      <c r="DH62" s="52"/>
      <c r="DI62" s="52"/>
      <c r="DJ62" s="52"/>
      <c r="DK62" s="52"/>
      <c r="DL62" s="52"/>
      <c r="DM62" s="52"/>
      <c r="DN62" s="52"/>
      <c r="DO62" s="52"/>
      <c r="DP62" s="52"/>
      <c r="DQ62" s="52"/>
      <c r="DR62" s="52"/>
      <c r="DS62" s="52"/>
      <c r="DT62" s="52"/>
      <c r="DU62" s="52"/>
      <c r="DV62" s="52"/>
      <c r="DW62" s="52"/>
      <c r="DX62" s="52"/>
      <c r="DY62" s="52"/>
      <c r="DZ62" s="52"/>
      <c r="EA62" s="52"/>
      <c r="EB62" s="52"/>
      <c r="EC62" s="52"/>
      <c r="ED62" s="52"/>
      <c r="EE62" s="52"/>
      <c r="EF62" s="52"/>
      <c r="EG62" s="52"/>
      <c r="EH62" s="52"/>
      <c r="EI62" s="52"/>
      <c r="EJ62" s="52"/>
      <c r="EK62" s="52"/>
      <c r="EL62" s="52"/>
      <c r="EM62" s="52"/>
      <c r="EN62" s="52"/>
      <c r="EO62" s="52"/>
      <c r="EP62" s="52"/>
      <c r="EQ62" s="52"/>
      <c r="ER62" s="52"/>
      <c r="ES62" s="52"/>
      <c r="ET62" s="52"/>
      <c r="EU62" s="52"/>
      <c r="EV62" s="52"/>
      <c r="EW62" s="52"/>
      <c r="EX62" s="52"/>
      <c r="EY62" s="52"/>
      <c r="EZ62" s="52"/>
      <c r="FA62" s="52"/>
      <c r="FB62" s="52"/>
      <c r="FC62" s="52"/>
      <c r="FD62" s="52"/>
      <c r="FE62" s="52"/>
      <c r="FF62" s="52"/>
      <c r="FG62" s="52"/>
      <c r="FH62" s="52"/>
      <c r="FI62" s="52"/>
      <c r="FJ62" s="52"/>
      <c r="FK62" s="52"/>
      <c r="FL62" s="52"/>
      <c r="FM62" s="52"/>
      <c r="FN62" s="52"/>
      <c r="FO62" s="52"/>
      <c r="FP62" s="52"/>
      <c r="FQ62" s="52"/>
      <c r="FR62" s="52"/>
      <c r="FS62" s="52"/>
      <c r="FT62" s="52"/>
      <c r="FU62" s="52"/>
    </row>
    <row r="63" spans="1:177" ht="11.25" customHeight="1">
      <c r="A63" s="215"/>
      <c r="B63" s="210" t="s">
        <v>251</v>
      </c>
      <c r="C63" s="211"/>
      <c r="D63" s="211"/>
      <c r="E63" s="211"/>
      <c r="F63" s="211"/>
      <c r="G63" s="212">
        <f>G29+G53+G61</f>
        <v>189.61999999999998</v>
      </c>
      <c r="H63" s="213">
        <f>H29+H53+H61</f>
        <v>112.59666666666665</v>
      </c>
      <c r="I63" s="843">
        <f>IF(G63=0,"",(H63-G63)/G63*100)</f>
        <v>-40.619836163555185</v>
      </c>
      <c r="J63" s="18"/>
      <c r="K63" s="10"/>
      <c r="L63" s="10"/>
      <c r="M63" s="10"/>
      <c r="N63" s="10"/>
      <c r="O63" s="10"/>
      <c r="P63" s="10"/>
      <c r="S63" s="10"/>
      <c r="T63" s="35"/>
      <c r="U63" s="10"/>
      <c r="V63" s="35"/>
      <c r="W63" s="35"/>
      <c r="X63" s="35"/>
      <c r="Y63" s="35"/>
      <c r="Z63" s="35"/>
      <c r="AA63" s="35"/>
      <c r="AB63" s="242"/>
      <c r="AC63" s="10"/>
      <c r="AD63" s="10"/>
      <c r="AE63" s="10"/>
      <c r="AF63" s="10"/>
      <c r="AG63" s="10"/>
      <c r="AH63" s="10"/>
      <c r="AI63" s="10"/>
      <c r="AJ63" s="10"/>
      <c r="AK63" s="10"/>
      <c r="AL63" s="10"/>
      <c r="AM63" s="10"/>
      <c r="AN63" s="10"/>
      <c r="AO63" s="10"/>
      <c r="AP63" s="52"/>
      <c r="AQ63" s="52"/>
      <c r="AR63" s="52"/>
      <c r="AS63" s="52"/>
      <c r="AT63" s="52"/>
      <c r="AU63" s="52"/>
      <c r="AV63" s="52"/>
      <c r="AW63" s="52"/>
      <c r="AX63" s="52"/>
      <c r="AY63" s="52"/>
      <c r="AZ63" s="52"/>
      <c r="BA63" s="52"/>
      <c r="BB63" s="52"/>
      <c r="BC63" s="52"/>
      <c r="BD63" s="52"/>
      <c r="BE63" s="52"/>
      <c r="BF63" s="52"/>
      <c r="BG63" s="52"/>
      <c r="BH63" s="52"/>
      <c r="BI63" s="52"/>
      <c r="BJ63" s="52"/>
      <c r="BK63" s="52"/>
      <c r="BL63" s="52"/>
      <c r="BM63" s="52"/>
      <c r="BN63" s="52"/>
      <c r="BO63" s="52"/>
      <c r="BP63" s="52"/>
      <c r="BQ63" s="52"/>
      <c r="BR63" s="52"/>
      <c r="BS63" s="52"/>
      <c r="BT63" s="52"/>
      <c r="BU63" s="52"/>
      <c r="BV63" s="52"/>
      <c r="BW63" s="52"/>
      <c r="BX63" s="52"/>
      <c r="BY63" s="52"/>
      <c r="BZ63" s="52"/>
      <c r="CA63" s="52"/>
      <c r="CB63" s="52"/>
      <c r="CC63" s="52"/>
      <c r="CD63" s="52"/>
      <c r="CE63" s="52"/>
      <c r="CF63" s="52"/>
      <c r="CG63" s="52"/>
      <c r="CH63" s="52"/>
      <c r="CI63" s="52"/>
      <c r="CJ63" s="52"/>
      <c r="CK63" s="52"/>
      <c r="CL63" s="52"/>
      <c r="CM63" s="52"/>
      <c r="CN63" s="52"/>
      <c r="CO63" s="52"/>
      <c r="CP63" s="52"/>
      <c r="CQ63" s="52"/>
      <c r="CR63" s="52"/>
      <c r="CS63" s="52"/>
      <c r="CT63" s="52"/>
      <c r="CU63" s="52"/>
      <c r="CV63" s="52"/>
      <c r="CW63" s="52"/>
      <c r="CX63" s="52"/>
      <c r="CY63" s="52"/>
      <c r="CZ63" s="52"/>
      <c r="DA63" s="52"/>
      <c r="DB63" s="52"/>
      <c r="DC63" s="52"/>
      <c r="DD63" s="52"/>
      <c r="DE63" s="52"/>
      <c r="DF63" s="52"/>
      <c r="DG63" s="52"/>
      <c r="DH63" s="52"/>
      <c r="DI63" s="52"/>
      <c r="DJ63" s="52"/>
      <c r="DK63" s="52"/>
      <c r="DL63" s="52"/>
      <c r="DM63" s="52"/>
      <c r="DN63" s="52"/>
      <c r="DO63" s="52"/>
      <c r="DP63" s="52"/>
      <c r="DQ63" s="52"/>
      <c r="DR63" s="52"/>
      <c r="DS63" s="52"/>
      <c r="DT63" s="52"/>
      <c r="DU63" s="52"/>
      <c r="DV63" s="52"/>
      <c r="DW63" s="52"/>
      <c r="DX63" s="52"/>
      <c r="DY63" s="52"/>
      <c r="DZ63" s="52"/>
      <c r="EA63" s="52"/>
      <c r="EB63" s="52"/>
      <c r="EC63" s="52"/>
      <c r="ED63" s="52"/>
      <c r="EE63" s="52"/>
      <c r="EF63" s="52"/>
      <c r="EG63" s="52"/>
      <c r="EH63" s="52"/>
      <c r="EI63" s="52"/>
      <c r="EJ63" s="52"/>
      <c r="EK63" s="52"/>
      <c r="EL63" s="52"/>
      <c r="EM63" s="52"/>
      <c r="EN63" s="52"/>
      <c r="EO63" s="52"/>
      <c r="EP63" s="52"/>
      <c r="EQ63" s="52"/>
      <c r="ER63" s="52"/>
      <c r="ES63" s="52"/>
      <c r="ET63" s="52"/>
      <c r="EU63" s="52"/>
      <c r="EV63" s="52"/>
      <c r="EW63" s="52"/>
      <c r="EX63" s="52"/>
      <c r="EY63" s="52"/>
      <c r="EZ63" s="52"/>
      <c r="FA63" s="52"/>
      <c r="FB63" s="52"/>
      <c r="FC63" s="52"/>
      <c r="FD63" s="52"/>
      <c r="FE63" s="52"/>
      <c r="FF63" s="52"/>
      <c r="FG63" s="52"/>
      <c r="FH63" s="52"/>
      <c r="FI63" s="52"/>
      <c r="FJ63" s="52"/>
      <c r="FK63" s="52"/>
      <c r="FL63" s="52"/>
      <c r="FM63" s="52"/>
      <c r="FN63" s="52"/>
      <c r="FO63" s="52"/>
      <c r="FP63" s="52"/>
      <c r="FQ63" s="52"/>
      <c r="FR63" s="52"/>
      <c r="FS63" s="52"/>
      <c r="FT63" s="52"/>
      <c r="FU63" s="52"/>
    </row>
    <row r="64" spans="1:177" ht="11.25" customHeight="1">
      <c r="A64" s="215"/>
      <c r="B64" s="216"/>
      <c r="C64" s="217"/>
      <c r="D64" s="217"/>
      <c r="E64" s="217"/>
      <c r="F64" s="217"/>
      <c r="G64" s="218"/>
      <c r="H64" s="219"/>
      <c r="I64" s="220"/>
      <c r="T64" s="236"/>
      <c r="U64" s="231" t="s">
        <v>331</v>
      </c>
      <c r="V64" s="236"/>
      <c r="W64" s="236"/>
      <c r="X64" s="236"/>
      <c r="Y64" s="236"/>
      <c r="Z64" s="236"/>
      <c r="AA64" s="236"/>
      <c r="AB64" s="229"/>
      <c r="AC64" s="35"/>
      <c r="AP64" s="52"/>
      <c r="AQ64" s="52"/>
      <c r="AR64" s="52"/>
      <c r="AS64" s="52"/>
      <c r="AT64" s="52"/>
      <c r="AU64" s="52"/>
      <c r="AV64" s="52"/>
      <c r="AW64" s="52"/>
      <c r="AX64" s="52"/>
      <c r="AY64" s="52"/>
      <c r="AZ64" s="52"/>
      <c r="BA64" s="52"/>
      <c r="BB64" s="52"/>
      <c r="BC64" s="52"/>
      <c r="BD64" s="52"/>
      <c r="BE64" s="52"/>
      <c r="BF64" s="52"/>
      <c r="BG64" s="52"/>
      <c r="BH64" s="52"/>
      <c r="BI64" s="52"/>
      <c r="BJ64" s="52"/>
      <c r="BK64" s="52"/>
      <c r="BL64" s="52"/>
      <c r="BM64" s="52"/>
      <c r="BN64" s="52"/>
      <c r="BO64" s="52"/>
      <c r="BP64" s="52"/>
      <c r="BQ64" s="52"/>
      <c r="BR64" s="52"/>
      <c r="BS64" s="52"/>
      <c r="BT64" s="52"/>
      <c r="BU64" s="52"/>
      <c r="BV64" s="52"/>
      <c r="BW64" s="52"/>
      <c r="BX64" s="52"/>
      <c r="BY64" s="52"/>
      <c r="BZ64" s="52"/>
      <c r="CA64" s="52"/>
      <c r="CB64" s="52"/>
      <c r="CC64" s="52"/>
      <c r="CD64" s="52"/>
      <c r="CE64" s="52"/>
      <c r="CF64" s="52"/>
      <c r="CG64" s="52"/>
      <c r="CH64" s="52"/>
      <c r="CI64" s="52"/>
      <c r="CJ64" s="52"/>
      <c r="CK64" s="52"/>
      <c r="CL64" s="52"/>
      <c r="CM64" s="52"/>
      <c r="CN64" s="52"/>
      <c r="CO64" s="52"/>
      <c r="CP64" s="52"/>
      <c r="CQ64" s="52"/>
      <c r="CR64" s="52"/>
      <c r="CS64" s="52"/>
      <c r="CT64" s="52"/>
      <c r="CU64" s="52"/>
      <c r="CV64" s="52"/>
      <c r="CW64" s="52"/>
      <c r="CX64" s="52"/>
      <c r="CY64" s="52"/>
      <c r="CZ64" s="52"/>
      <c r="DA64" s="52"/>
      <c r="DB64" s="52"/>
      <c r="DC64" s="52"/>
      <c r="DD64" s="52"/>
      <c r="DE64" s="52"/>
      <c r="DF64" s="52"/>
      <c r="DG64" s="52"/>
      <c r="DH64" s="52"/>
      <c r="DI64" s="52"/>
      <c r="DJ64" s="52"/>
      <c r="DK64" s="52"/>
      <c r="DL64" s="52"/>
      <c r="DM64" s="52"/>
      <c r="DN64" s="52"/>
      <c r="DO64" s="52"/>
      <c r="DP64" s="52"/>
      <c r="DQ64" s="52"/>
      <c r="DR64" s="52"/>
      <c r="DS64" s="52"/>
      <c r="DT64" s="52"/>
      <c r="DU64" s="52"/>
      <c r="DV64" s="52"/>
      <c r="DW64" s="52"/>
      <c r="DX64" s="52"/>
      <c r="DY64" s="52"/>
      <c r="DZ64" s="52"/>
      <c r="EA64" s="52"/>
      <c r="EB64" s="52"/>
      <c r="EC64" s="52"/>
      <c r="ED64" s="52"/>
      <c r="EE64" s="52"/>
      <c r="EF64" s="52"/>
      <c r="EG64" s="52"/>
      <c r="EH64" s="52"/>
      <c r="EI64" s="52"/>
      <c r="EJ64" s="52"/>
      <c r="EK64" s="52"/>
      <c r="EL64" s="52"/>
      <c r="EM64" s="52"/>
      <c r="EN64" s="52"/>
      <c r="EO64" s="52"/>
      <c r="EP64" s="52"/>
      <c r="EQ64" s="52"/>
      <c r="ER64" s="52"/>
      <c r="ES64" s="52"/>
      <c r="ET64" s="52"/>
      <c r="EU64" s="52"/>
      <c r="EV64" s="52"/>
      <c r="EW64" s="52"/>
      <c r="EX64" s="52"/>
      <c r="EY64" s="52"/>
      <c r="EZ64" s="52"/>
      <c r="FA64" s="52"/>
      <c r="FB64" s="52"/>
      <c r="FC64" s="52"/>
      <c r="FD64" s="52"/>
      <c r="FE64" s="52"/>
      <c r="FF64" s="52"/>
      <c r="FG64" s="52"/>
      <c r="FH64" s="52"/>
      <c r="FI64" s="52"/>
      <c r="FJ64" s="52"/>
      <c r="FK64" s="52"/>
      <c r="FL64" s="52"/>
      <c r="FM64" s="52"/>
      <c r="FN64" s="52"/>
      <c r="FO64" s="52"/>
      <c r="FP64" s="52"/>
      <c r="FQ64" s="52"/>
      <c r="FR64" s="52"/>
      <c r="FS64" s="52"/>
      <c r="FT64" s="52"/>
      <c r="FU64" s="52"/>
    </row>
    <row r="65" spans="1:177" ht="11.25" customHeight="1">
      <c r="A65" s="240"/>
      <c r="B65" s="34" t="s">
        <v>330</v>
      </c>
      <c r="C65" s="35"/>
      <c r="D65" s="35"/>
      <c r="E65" s="35"/>
      <c r="F65" s="35"/>
      <c r="G65" s="221"/>
      <c r="H65" s="222">
        <f>H21</f>
        <v>6</v>
      </c>
      <c r="I65" s="223"/>
      <c r="J65" s="18"/>
      <c r="K65" s="10"/>
      <c r="L65" s="10"/>
      <c r="M65" s="10"/>
      <c r="N65" s="10"/>
      <c r="O65" s="10"/>
      <c r="P65" s="10"/>
      <c r="S65" s="10"/>
      <c r="T65" s="10"/>
      <c r="U65" s="10" t="s">
        <v>293</v>
      </c>
      <c r="V65" s="10"/>
      <c r="W65" s="10"/>
      <c r="X65" s="10"/>
      <c r="Y65" s="10"/>
      <c r="Z65" s="10"/>
      <c r="AA65" s="10"/>
      <c r="AB65" s="195" t="s">
        <v>640</v>
      </c>
      <c r="AC65" s="10"/>
      <c r="AD65" s="10"/>
      <c r="AE65" s="10"/>
      <c r="AF65" s="10"/>
      <c r="AG65" s="10"/>
      <c r="AH65" s="10"/>
      <c r="AI65" s="10"/>
      <c r="AJ65" s="10"/>
      <c r="AK65" s="10"/>
      <c r="AL65" s="10"/>
      <c r="AM65" s="10"/>
      <c r="AN65" s="10"/>
      <c r="AO65" s="10"/>
      <c r="AP65" s="52"/>
      <c r="AQ65" s="52"/>
      <c r="AR65" s="52"/>
      <c r="AS65" s="52"/>
      <c r="AT65" s="52"/>
      <c r="AU65" s="52"/>
      <c r="AV65" s="52"/>
      <c r="AW65" s="52"/>
      <c r="AX65" s="52"/>
      <c r="AY65" s="52"/>
      <c r="AZ65" s="52"/>
      <c r="BA65" s="52"/>
      <c r="BB65" s="52"/>
      <c r="BC65" s="52"/>
      <c r="BD65" s="52"/>
      <c r="BE65" s="52"/>
      <c r="BF65" s="52"/>
      <c r="BG65" s="52"/>
      <c r="BH65" s="52"/>
      <c r="BI65" s="52"/>
      <c r="BJ65" s="52"/>
      <c r="BK65" s="52"/>
      <c r="BL65" s="52"/>
      <c r="BM65" s="52"/>
      <c r="BN65" s="52"/>
      <c r="BO65" s="52"/>
      <c r="BP65" s="52"/>
      <c r="BQ65" s="52"/>
      <c r="BR65" s="52"/>
      <c r="BS65" s="52"/>
      <c r="BT65" s="52"/>
      <c r="BU65" s="52"/>
      <c r="BV65" s="52"/>
      <c r="BW65" s="52"/>
      <c r="BX65" s="52"/>
      <c r="BY65" s="52"/>
      <c r="BZ65" s="52"/>
      <c r="CA65" s="52"/>
      <c r="CB65" s="52"/>
      <c r="CC65" s="52"/>
      <c r="CD65" s="52"/>
      <c r="CE65" s="52"/>
      <c r="CF65" s="52"/>
      <c r="CG65" s="52"/>
      <c r="CH65" s="52"/>
      <c r="CI65" s="52"/>
      <c r="CJ65" s="52"/>
      <c r="CK65" s="52"/>
      <c r="CL65" s="52"/>
      <c r="CM65" s="52"/>
      <c r="CN65" s="52"/>
      <c r="CO65" s="52"/>
      <c r="CP65" s="52"/>
      <c r="CQ65" s="52"/>
      <c r="CR65" s="52"/>
      <c r="CS65" s="52"/>
      <c r="CT65" s="52"/>
      <c r="CU65" s="52"/>
      <c r="CV65" s="52"/>
      <c r="CW65" s="52"/>
      <c r="CX65" s="52"/>
      <c r="CY65" s="52"/>
      <c r="CZ65" s="52"/>
      <c r="DA65" s="52"/>
      <c r="DB65" s="52"/>
      <c r="DC65" s="52"/>
      <c r="DD65" s="52"/>
      <c r="DE65" s="52"/>
      <c r="DF65" s="52"/>
      <c r="DG65" s="52"/>
      <c r="DH65" s="52"/>
      <c r="DI65" s="52"/>
      <c r="DJ65" s="52"/>
      <c r="DK65" s="52"/>
      <c r="DL65" s="52"/>
      <c r="DM65" s="52"/>
      <c r="DN65" s="52"/>
      <c r="DO65" s="52"/>
      <c r="DP65" s="52"/>
      <c r="DQ65" s="52"/>
      <c r="DR65" s="52"/>
      <c r="DS65" s="52"/>
      <c r="DT65" s="52"/>
      <c r="DU65" s="52"/>
      <c r="DV65" s="52"/>
      <c r="DW65" s="52"/>
      <c r="DX65" s="52"/>
      <c r="DY65" s="52"/>
      <c r="DZ65" s="52"/>
      <c r="EA65" s="52"/>
      <c r="EB65" s="52"/>
      <c r="EC65" s="52"/>
      <c r="ED65" s="52"/>
      <c r="EE65" s="52"/>
      <c r="EF65" s="52"/>
      <c r="EG65" s="52"/>
      <c r="EH65" s="52"/>
      <c r="EI65" s="52"/>
      <c r="EJ65" s="52"/>
      <c r="EK65" s="52"/>
      <c r="EL65" s="52"/>
      <c r="EM65" s="52"/>
      <c r="EN65" s="52"/>
      <c r="EO65" s="52"/>
      <c r="EP65" s="52"/>
      <c r="EQ65" s="52"/>
      <c r="ER65" s="52"/>
      <c r="ES65" s="52"/>
      <c r="ET65" s="52"/>
      <c r="EU65" s="52"/>
      <c r="EV65" s="52"/>
      <c r="EW65" s="52"/>
      <c r="EX65" s="52"/>
      <c r="EY65" s="52"/>
      <c r="EZ65" s="52"/>
      <c r="FA65" s="52"/>
      <c r="FB65" s="52"/>
      <c r="FC65" s="52"/>
      <c r="FD65" s="52"/>
      <c r="FE65" s="52"/>
      <c r="FF65" s="52"/>
      <c r="FG65" s="52"/>
      <c r="FH65" s="52"/>
      <c r="FI65" s="52"/>
      <c r="FJ65" s="52"/>
      <c r="FK65" s="52"/>
      <c r="FL65" s="52"/>
      <c r="FM65" s="52"/>
      <c r="FN65" s="52"/>
      <c r="FO65" s="52"/>
      <c r="FP65" s="52"/>
      <c r="FQ65" s="52"/>
      <c r="FR65" s="52"/>
      <c r="FS65" s="52"/>
      <c r="FT65" s="52"/>
      <c r="FU65" s="52"/>
    </row>
    <row r="66" spans="1:177" ht="11.25" customHeight="1">
      <c r="A66" s="240"/>
      <c r="B66" s="34" t="s">
        <v>252</v>
      </c>
      <c r="C66" s="35"/>
      <c r="D66" s="35"/>
      <c r="E66" s="35"/>
      <c r="F66" s="35"/>
      <c r="G66" s="221"/>
      <c r="H66" s="222">
        <f>H63-H65</f>
        <v>106.59666666666665</v>
      </c>
      <c r="I66" s="223"/>
      <c r="J66" s="18"/>
      <c r="K66" s="10"/>
      <c r="L66" s="10"/>
      <c r="M66" s="10"/>
      <c r="N66" s="10"/>
      <c r="O66" s="10"/>
      <c r="P66" s="10"/>
      <c r="S66" s="10"/>
      <c r="T66" s="32"/>
      <c r="U66" s="236" t="s">
        <v>162</v>
      </c>
      <c r="V66" s="32"/>
      <c r="W66" s="32"/>
      <c r="X66" s="32"/>
      <c r="Y66" s="32"/>
      <c r="Z66" s="32"/>
      <c r="AA66" s="32"/>
      <c r="AB66" s="841" t="s">
        <v>279</v>
      </c>
      <c r="AD66" s="10"/>
      <c r="AE66" s="10"/>
      <c r="AF66" s="10"/>
      <c r="AG66" s="10"/>
      <c r="AH66" s="10"/>
      <c r="AI66" s="10"/>
      <c r="AJ66" s="10"/>
      <c r="AK66" s="10"/>
      <c r="AL66" s="10"/>
      <c r="AM66" s="10"/>
      <c r="AN66" s="10"/>
      <c r="AO66" s="10"/>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c r="BO66" s="52"/>
      <c r="BP66" s="52"/>
      <c r="BQ66" s="52"/>
      <c r="BR66" s="52"/>
      <c r="BS66" s="52"/>
      <c r="BT66" s="52"/>
      <c r="BU66" s="52"/>
      <c r="BV66" s="52"/>
      <c r="BW66" s="52"/>
      <c r="BX66" s="52"/>
      <c r="BY66" s="52"/>
      <c r="BZ66" s="52"/>
      <c r="CA66" s="52"/>
      <c r="CB66" s="52"/>
      <c r="CC66" s="52"/>
      <c r="CD66" s="52"/>
      <c r="CE66" s="52"/>
      <c r="CF66" s="52"/>
      <c r="CG66" s="52"/>
      <c r="CH66" s="52"/>
      <c r="CI66" s="52"/>
      <c r="CJ66" s="52"/>
      <c r="CK66" s="52"/>
      <c r="CL66" s="52"/>
      <c r="CM66" s="52"/>
      <c r="CN66" s="52"/>
      <c r="CO66" s="52"/>
      <c r="CP66" s="52"/>
      <c r="CQ66" s="52"/>
      <c r="CR66" s="52"/>
      <c r="CS66" s="52"/>
      <c r="CT66" s="52"/>
      <c r="CU66" s="52"/>
      <c r="CV66" s="52"/>
      <c r="CW66" s="52"/>
      <c r="CX66" s="52"/>
      <c r="CY66" s="52"/>
      <c r="CZ66" s="52"/>
      <c r="DA66" s="52"/>
      <c r="DB66" s="52"/>
      <c r="DC66" s="52"/>
      <c r="DD66" s="52"/>
      <c r="DE66" s="52"/>
      <c r="DF66" s="52"/>
      <c r="DG66" s="52"/>
      <c r="DH66" s="52"/>
      <c r="DI66" s="52"/>
      <c r="DJ66" s="52"/>
      <c r="DK66" s="52"/>
      <c r="DL66" s="52"/>
      <c r="DM66" s="52"/>
      <c r="DN66" s="52"/>
      <c r="DO66" s="52"/>
      <c r="DP66" s="52"/>
      <c r="DQ66" s="52"/>
      <c r="DR66" s="52"/>
      <c r="DS66" s="52"/>
      <c r="DT66" s="52"/>
      <c r="DU66" s="52"/>
      <c r="DV66" s="52"/>
      <c r="DW66" s="52"/>
      <c r="DX66" s="52"/>
      <c r="DY66" s="52"/>
      <c r="DZ66" s="52"/>
      <c r="EA66" s="52"/>
      <c r="EB66" s="52"/>
      <c r="EC66" s="52"/>
      <c r="ED66" s="52"/>
      <c r="EE66" s="52"/>
      <c r="EF66" s="52"/>
      <c r="EG66" s="52"/>
      <c r="EH66" s="52"/>
      <c r="EI66" s="52"/>
      <c r="EJ66" s="52"/>
      <c r="EK66" s="52"/>
      <c r="EL66" s="52"/>
      <c r="EM66" s="52"/>
      <c r="EN66" s="52"/>
      <c r="EO66" s="52"/>
      <c r="EP66" s="52"/>
      <c r="EQ66" s="52"/>
      <c r="ER66" s="52"/>
      <c r="ES66" s="52"/>
      <c r="ET66" s="52"/>
      <c r="EU66" s="52"/>
      <c r="EV66" s="52"/>
      <c r="EW66" s="52"/>
      <c r="EX66" s="52"/>
      <c r="EY66" s="52"/>
      <c r="EZ66" s="52"/>
      <c r="FA66" s="52"/>
      <c r="FB66" s="52"/>
      <c r="FC66" s="52"/>
      <c r="FD66" s="52"/>
      <c r="FE66" s="52"/>
      <c r="FF66" s="52"/>
      <c r="FG66" s="52"/>
      <c r="FH66" s="52"/>
      <c r="FI66" s="52"/>
      <c r="FJ66" s="52"/>
      <c r="FK66" s="52"/>
      <c r="FL66" s="52"/>
      <c r="FM66" s="52"/>
      <c r="FN66" s="52"/>
      <c r="FO66" s="52"/>
      <c r="FP66" s="52"/>
      <c r="FQ66" s="52"/>
      <c r="FR66" s="52"/>
      <c r="FS66" s="52"/>
      <c r="FT66" s="52"/>
      <c r="FU66" s="52"/>
    </row>
    <row r="67" spans="1:177" ht="11.25" customHeight="1">
      <c r="A67" s="241"/>
      <c r="B67" s="443" t="s">
        <v>506</v>
      </c>
      <c r="C67" s="35"/>
      <c r="D67" s="35"/>
      <c r="E67" s="35"/>
      <c r="F67" s="35"/>
      <c r="G67" s="221"/>
      <c r="H67" s="221">
        <f>0.6*G63</f>
        <v>113.77199999999998</v>
      </c>
      <c r="I67" s="801" t="str">
        <f>IF(H63&lt;=H67,"YES!","NO")</f>
        <v>YES!</v>
      </c>
      <c r="J67" s="18"/>
      <c r="K67" s="10"/>
      <c r="L67" s="10"/>
      <c r="M67" s="10"/>
      <c r="N67" s="10"/>
      <c r="O67" s="10"/>
      <c r="P67" s="10"/>
      <c r="S67" s="10"/>
      <c r="T67" s="769" t="s">
        <v>369</v>
      </c>
      <c r="U67" s="770">
        <f>Z105</f>
        <v>13962.69993958958</v>
      </c>
      <c r="V67" s="206"/>
      <c r="W67" s="206"/>
      <c r="X67" s="206"/>
      <c r="Y67" s="206"/>
      <c r="Z67" s="206"/>
      <c r="AA67" s="206"/>
      <c r="AB67" s="776">
        <v>0.0713</v>
      </c>
      <c r="AC67" s="10"/>
      <c r="AD67" s="10"/>
      <c r="AE67" s="10"/>
      <c r="AF67" s="10"/>
      <c r="AG67" s="10"/>
      <c r="AH67" s="10"/>
      <c r="AI67" s="10"/>
      <c r="AJ67" s="10"/>
      <c r="AK67" s="10"/>
      <c r="AL67" s="10"/>
      <c r="AM67" s="10"/>
      <c r="AN67" s="10"/>
      <c r="AO67" s="10"/>
      <c r="AP67" s="52"/>
      <c r="AQ67" s="52"/>
      <c r="AR67" s="52"/>
      <c r="AS67" s="52"/>
      <c r="AT67" s="52"/>
      <c r="AU67" s="52"/>
      <c r="AV67" s="52"/>
      <c r="AW67" s="52"/>
      <c r="AX67" s="52"/>
      <c r="AY67" s="52"/>
      <c r="AZ67" s="52"/>
      <c r="BA67" s="52"/>
      <c r="BB67" s="52"/>
      <c r="BC67" s="52"/>
      <c r="BD67" s="52"/>
      <c r="BE67" s="52"/>
      <c r="BF67" s="52"/>
      <c r="BG67" s="52"/>
      <c r="BH67" s="52"/>
      <c r="BI67" s="52"/>
      <c r="BJ67" s="52"/>
      <c r="BK67" s="52"/>
      <c r="BL67" s="52"/>
      <c r="BM67" s="52"/>
      <c r="BN67" s="52"/>
      <c r="BO67" s="52"/>
      <c r="BP67" s="52"/>
      <c r="BQ67" s="52"/>
      <c r="BR67" s="52"/>
      <c r="BS67" s="52"/>
      <c r="BT67" s="52"/>
      <c r="BU67" s="52"/>
      <c r="BV67" s="52"/>
      <c r="BW67" s="52"/>
      <c r="BX67" s="52"/>
      <c r="BY67" s="52"/>
      <c r="BZ67" s="52"/>
      <c r="CA67" s="52"/>
      <c r="CB67" s="52"/>
      <c r="CC67" s="52"/>
      <c r="CD67" s="52"/>
      <c r="CE67" s="52"/>
      <c r="CF67" s="52"/>
      <c r="CG67" s="52"/>
      <c r="CH67" s="52"/>
      <c r="CI67" s="52"/>
      <c r="CJ67" s="52"/>
      <c r="CK67" s="52"/>
      <c r="CL67" s="52"/>
      <c r="CM67" s="52"/>
      <c r="CN67" s="52"/>
      <c r="CO67" s="52"/>
      <c r="CP67" s="52"/>
      <c r="CQ67" s="52"/>
      <c r="CR67" s="52"/>
      <c r="CS67" s="52"/>
      <c r="CT67" s="52"/>
      <c r="CU67" s="52"/>
      <c r="CV67" s="52"/>
      <c r="CW67" s="52"/>
      <c r="CX67" s="52"/>
      <c r="CY67" s="52"/>
      <c r="CZ67" s="52"/>
      <c r="DA67" s="52"/>
      <c r="DB67" s="52"/>
      <c r="DC67" s="52"/>
      <c r="DD67" s="52"/>
      <c r="DE67" s="52"/>
      <c r="DF67" s="52"/>
      <c r="DG67" s="52"/>
      <c r="DH67" s="52"/>
      <c r="DI67" s="52"/>
      <c r="DJ67" s="52"/>
      <c r="DK67" s="52"/>
      <c r="DL67" s="52"/>
      <c r="DM67" s="52"/>
      <c r="DN67" s="52"/>
      <c r="DO67" s="52"/>
      <c r="DP67" s="52"/>
      <c r="DQ67" s="52"/>
      <c r="DR67" s="52"/>
      <c r="DS67" s="52"/>
      <c r="DT67" s="52"/>
      <c r="DU67" s="52"/>
      <c r="DV67" s="52"/>
      <c r="DW67" s="52"/>
      <c r="DX67" s="52"/>
      <c r="DY67" s="52"/>
      <c r="DZ67" s="52"/>
      <c r="EA67" s="52"/>
      <c r="EB67" s="52"/>
      <c r="EC67" s="52"/>
      <c r="ED67" s="52"/>
      <c r="EE67" s="52"/>
      <c r="EF67" s="52"/>
      <c r="EG67" s="52"/>
      <c r="EH67" s="52"/>
      <c r="EI67" s="52"/>
      <c r="EJ67" s="52"/>
      <c r="EK67" s="52"/>
      <c r="EL67" s="52"/>
      <c r="EM67" s="52"/>
      <c r="EN67" s="52"/>
      <c r="EO67" s="52"/>
      <c r="EP67" s="52"/>
      <c r="EQ67" s="52"/>
      <c r="ER67" s="52"/>
      <c r="ES67" s="52"/>
      <c r="ET67" s="52"/>
      <c r="EU67" s="52"/>
      <c r="EV67" s="52"/>
      <c r="EW67" s="52"/>
      <c r="EX67" s="52"/>
      <c r="EY67" s="52"/>
      <c r="EZ67" s="52"/>
      <c r="FA67" s="52"/>
      <c r="FB67" s="52"/>
      <c r="FC67" s="52"/>
      <c r="FD67" s="52"/>
      <c r="FE67" s="52"/>
      <c r="FF67" s="52"/>
      <c r="FG67" s="52"/>
      <c r="FH67" s="52"/>
      <c r="FI67" s="52"/>
      <c r="FJ67" s="52"/>
      <c r="FK67" s="52"/>
      <c r="FL67" s="52"/>
      <c r="FM67" s="52"/>
      <c r="FN67" s="52"/>
      <c r="FO67" s="52"/>
      <c r="FP67" s="52"/>
      <c r="FQ67" s="52"/>
      <c r="FR67" s="52"/>
      <c r="FS67" s="52"/>
      <c r="FT67" s="52"/>
      <c r="FU67" s="52"/>
    </row>
    <row r="68" spans="1:177" ht="11.25" customHeight="1">
      <c r="A68" s="35"/>
      <c r="B68" s="31"/>
      <c r="J68" s="18"/>
      <c r="K68" s="10"/>
      <c r="L68" s="93"/>
      <c r="M68" s="10"/>
      <c r="N68" s="10"/>
      <c r="O68" s="10"/>
      <c r="P68" s="10"/>
      <c r="S68" s="10"/>
      <c r="AD68" s="195"/>
      <c r="AE68" s="195"/>
      <c r="AF68" s="195"/>
      <c r="AG68" s="195"/>
      <c r="AH68" s="195"/>
      <c r="AI68" s="195"/>
      <c r="AJ68" s="195"/>
      <c r="AK68" s="195"/>
      <c r="AL68" s="195"/>
      <c r="AM68" s="195"/>
      <c r="AN68" s="195"/>
      <c r="AO68" s="195"/>
      <c r="AP68" s="52"/>
      <c r="AQ68" s="52"/>
      <c r="AR68" s="52"/>
      <c r="AS68" s="52"/>
      <c r="AT68" s="52"/>
      <c r="AU68" s="52"/>
      <c r="AV68" s="52"/>
      <c r="AW68" s="52"/>
      <c r="AX68" s="52"/>
      <c r="AY68" s="52"/>
      <c r="AZ68" s="52"/>
      <c r="BA68" s="52"/>
      <c r="BB68" s="52"/>
      <c r="BC68" s="52"/>
      <c r="BD68" s="52"/>
      <c r="BE68" s="52"/>
      <c r="BF68" s="52"/>
      <c r="BG68" s="52"/>
      <c r="BH68" s="52"/>
      <c r="BI68" s="52"/>
      <c r="BJ68" s="52"/>
      <c r="BK68" s="52"/>
      <c r="BL68" s="52"/>
      <c r="BM68" s="52"/>
      <c r="BN68" s="52"/>
      <c r="BO68" s="52"/>
      <c r="BP68" s="52"/>
      <c r="BQ68" s="52"/>
      <c r="BR68" s="52"/>
      <c r="BS68" s="52"/>
      <c r="BT68" s="52"/>
      <c r="BU68" s="52"/>
      <c r="BV68" s="52"/>
      <c r="BW68" s="52"/>
      <c r="BX68" s="52"/>
      <c r="BY68" s="52"/>
      <c r="BZ68" s="52"/>
      <c r="CA68" s="52"/>
      <c r="CB68" s="52"/>
      <c r="CC68" s="52"/>
      <c r="CD68" s="52"/>
      <c r="CE68" s="52"/>
      <c r="CF68" s="52"/>
      <c r="CG68" s="52"/>
      <c r="CH68" s="52"/>
      <c r="CI68" s="52"/>
      <c r="CJ68" s="52"/>
      <c r="CK68" s="52"/>
      <c r="CL68" s="52"/>
      <c r="CM68" s="52"/>
      <c r="CN68" s="52"/>
      <c r="CO68" s="52"/>
      <c r="CP68" s="52"/>
      <c r="CQ68" s="52"/>
      <c r="CR68" s="52"/>
      <c r="CS68" s="52"/>
      <c r="CT68" s="52"/>
      <c r="CU68" s="52"/>
      <c r="CV68" s="52"/>
      <c r="CW68" s="52"/>
      <c r="CX68" s="52"/>
      <c r="CY68" s="52"/>
      <c r="CZ68" s="52"/>
      <c r="DA68" s="52"/>
      <c r="DB68" s="52"/>
      <c r="DC68" s="52"/>
      <c r="DD68" s="52"/>
      <c r="DE68" s="52"/>
      <c r="DF68" s="52"/>
      <c r="DG68" s="52"/>
      <c r="DH68" s="52"/>
      <c r="DI68" s="52"/>
      <c r="DJ68" s="52"/>
      <c r="DK68" s="52"/>
      <c r="DL68" s="52"/>
      <c r="DM68" s="52"/>
      <c r="DN68" s="52"/>
      <c r="DO68" s="52"/>
      <c r="DP68" s="52"/>
      <c r="DQ68" s="52"/>
      <c r="DR68" s="52"/>
      <c r="DS68" s="52"/>
      <c r="DT68" s="52"/>
      <c r="DU68" s="52"/>
      <c r="DV68" s="52"/>
      <c r="DW68" s="52"/>
      <c r="DX68" s="52"/>
      <c r="DY68" s="52"/>
      <c r="DZ68" s="52"/>
      <c r="EA68" s="52"/>
      <c r="EB68" s="52"/>
      <c r="EC68" s="52"/>
      <c r="ED68" s="52"/>
      <c r="EE68" s="52"/>
      <c r="EF68" s="52"/>
      <c r="EG68" s="52"/>
      <c r="EH68" s="52"/>
      <c r="EI68" s="52"/>
      <c r="EJ68" s="52"/>
      <c r="EK68" s="52"/>
      <c r="EL68" s="52"/>
      <c r="EM68" s="52"/>
      <c r="EN68" s="52"/>
      <c r="EO68" s="52"/>
      <c r="EP68" s="52"/>
      <c r="EQ68" s="52"/>
      <c r="ER68" s="52"/>
      <c r="ES68" s="52"/>
      <c r="ET68" s="52"/>
      <c r="EU68" s="52"/>
      <c r="EV68" s="52"/>
      <c r="EW68" s="52"/>
      <c r="EX68" s="52"/>
      <c r="EY68" s="52"/>
      <c r="EZ68" s="52"/>
      <c r="FA68" s="52"/>
      <c r="FB68" s="52"/>
      <c r="FC68" s="52"/>
      <c r="FD68" s="52"/>
      <c r="FE68" s="52"/>
      <c r="FF68" s="52"/>
      <c r="FG68" s="52"/>
      <c r="FH68" s="52"/>
      <c r="FI68" s="52"/>
      <c r="FJ68" s="52"/>
      <c r="FK68" s="52"/>
      <c r="FL68" s="52"/>
      <c r="FM68" s="52"/>
      <c r="FN68" s="52"/>
      <c r="FO68" s="52"/>
      <c r="FP68" s="52"/>
      <c r="FQ68" s="52"/>
      <c r="FR68" s="52"/>
      <c r="FS68" s="52"/>
      <c r="FT68" s="52"/>
      <c r="FU68" s="52"/>
    </row>
    <row r="69" spans="1:177" ht="11.25" customHeight="1">
      <c r="A69" s="35"/>
      <c r="B69" s="377" t="s">
        <v>625</v>
      </c>
      <c r="J69" s="18"/>
      <c r="K69" s="10"/>
      <c r="L69" s="10"/>
      <c r="M69" s="10"/>
      <c r="N69" s="10"/>
      <c r="O69" s="10"/>
      <c r="P69" s="10"/>
      <c r="S69" s="10"/>
      <c r="AD69" s="195"/>
      <c r="AE69" s="195"/>
      <c r="AF69" s="195"/>
      <c r="AG69" s="195"/>
      <c r="AH69" s="195"/>
      <c r="AI69" s="195"/>
      <c r="AJ69" s="195"/>
      <c r="AK69" s="195"/>
      <c r="AL69" s="195"/>
      <c r="AM69" s="195"/>
      <c r="AN69" s="195"/>
      <c r="AO69" s="195"/>
      <c r="AP69" s="52"/>
      <c r="AQ69" s="52"/>
      <c r="AR69" s="52"/>
      <c r="AS69" s="52"/>
      <c r="AT69" s="52"/>
      <c r="AU69" s="52"/>
      <c r="AV69" s="52"/>
      <c r="AW69" s="52"/>
      <c r="AX69" s="52"/>
      <c r="AY69" s="52"/>
      <c r="AZ69" s="52"/>
      <c r="BA69" s="52"/>
      <c r="BB69" s="52"/>
      <c r="BC69" s="52"/>
      <c r="BD69" s="52"/>
      <c r="BE69" s="52"/>
      <c r="BF69" s="52"/>
      <c r="BG69" s="52"/>
      <c r="BH69" s="52"/>
      <c r="BI69" s="52"/>
      <c r="BJ69" s="52"/>
      <c r="BK69" s="52"/>
      <c r="BL69" s="52"/>
      <c r="BM69" s="52"/>
      <c r="BN69" s="52"/>
      <c r="BO69" s="52"/>
      <c r="BP69" s="52"/>
      <c r="BQ69" s="52"/>
      <c r="BR69" s="52"/>
      <c r="BS69" s="52"/>
      <c r="BT69" s="52"/>
      <c r="BU69" s="52"/>
      <c r="BV69" s="52"/>
      <c r="BW69" s="52"/>
      <c r="BX69" s="52"/>
      <c r="BY69" s="52"/>
      <c r="BZ69" s="52"/>
      <c r="CA69" s="52"/>
      <c r="CB69" s="52"/>
      <c r="CC69" s="52"/>
      <c r="CD69" s="52"/>
      <c r="CE69" s="52"/>
      <c r="CF69" s="52"/>
      <c r="CG69" s="52"/>
      <c r="CH69" s="52"/>
      <c r="CI69" s="52"/>
      <c r="CJ69" s="52"/>
      <c r="CK69" s="52"/>
      <c r="CL69" s="52"/>
      <c r="CM69" s="52"/>
      <c r="CN69" s="52"/>
      <c r="CO69" s="52"/>
      <c r="CP69" s="52"/>
      <c r="CQ69" s="52"/>
      <c r="CR69" s="52"/>
      <c r="CS69" s="52"/>
      <c r="CT69" s="52"/>
      <c r="CU69" s="52"/>
      <c r="CV69" s="52"/>
      <c r="CW69" s="52"/>
      <c r="CX69" s="52"/>
      <c r="CY69" s="52"/>
      <c r="CZ69" s="52"/>
      <c r="DA69" s="52"/>
      <c r="DB69" s="52"/>
      <c r="DC69" s="52"/>
      <c r="DD69" s="52"/>
      <c r="DE69" s="52"/>
      <c r="DF69" s="52"/>
      <c r="DG69" s="52"/>
      <c r="DH69" s="52"/>
      <c r="DI69" s="52"/>
      <c r="DJ69" s="52"/>
      <c r="DK69" s="52"/>
      <c r="DL69" s="52"/>
      <c r="DM69" s="52"/>
      <c r="DN69" s="52"/>
      <c r="DO69" s="52"/>
      <c r="DP69" s="52"/>
      <c r="DQ69" s="52"/>
      <c r="DR69" s="52"/>
      <c r="DS69" s="52"/>
      <c r="DT69" s="52"/>
      <c r="DU69" s="52"/>
      <c r="DV69" s="52"/>
      <c r="DW69" s="52"/>
      <c r="DX69" s="52"/>
      <c r="DY69" s="52"/>
      <c r="DZ69" s="52"/>
      <c r="EA69" s="52"/>
      <c r="EB69" s="52"/>
      <c r="EC69" s="52"/>
      <c r="ED69" s="52"/>
      <c r="EE69" s="52"/>
      <c r="EF69" s="52"/>
      <c r="EG69" s="52"/>
      <c r="EH69" s="52"/>
      <c r="EI69" s="52"/>
      <c r="EJ69" s="52"/>
      <c r="EK69" s="52"/>
      <c r="EL69" s="52"/>
      <c r="EM69" s="52"/>
      <c r="EN69" s="52"/>
      <c r="EO69" s="52"/>
      <c r="EP69" s="52"/>
      <c r="EQ69" s="52"/>
      <c r="ER69" s="52"/>
      <c r="ES69" s="52"/>
      <c r="ET69" s="52"/>
      <c r="EU69" s="52"/>
      <c r="EV69" s="52"/>
      <c r="EW69" s="52"/>
      <c r="EX69" s="52"/>
      <c r="EY69" s="52"/>
      <c r="EZ69" s="52"/>
      <c r="FA69" s="52"/>
      <c r="FB69" s="52"/>
      <c r="FC69" s="52"/>
      <c r="FD69" s="52"/>
      <c r="FE69" s="52"/>
      <c r="FF69" s="52"/>
      <c r="FG69" s="52"/>
      <c r="FH69" s="52"/>
      <c r="FI69" s="52"/>
      <c r="FJ69" s="52"/>
      <c r="FK69" s="52"/>
      <c r="FL69" s="52"/>
      <c r="FM69" s="52"/>
      <c r="FN69" s="52"/>
      <c r="FO69" s="52"/>
      <c r="FP69" s="52"/>
      <c r="FQ69" s="52"/>
      <c r="FR69" s="52"/>
      <c r="FS69" s="52"/>
      <c r="FT69" s="52"/>
      <c r="FU69" s="52"/>
    </row>
    <row r="70" spans="1:177" ht="11.25" customHeight="1">
      <c r="A70" s="215"/>
      <c r="B70" s="31"/>
      <c r="J70" s="18"/>
      <c r="K70" s="10"/>
      <c r="L70" s="10"/>
      <c r="M70" s="10"/>
      <c r="N70" s="10"/>
      <c r="O70" s="10"/>
      <c r="P70" s="10"/>
      <c r="S70" s="10"/>
      <c r="AD70" s="195"/>
      <c r="AE70" s="195"/>
      <c r="AF70" s="195"/>
      <c r="AG70" s="195"/>
      <c r="AH70" s="195"/>
      <c r="AI70" s="195"/>
      <c r="AJ70" s="195"/>
      <c r="AK70" s="195"/>
      <c r="AL70" s="195"/>
      <c r="AM70" s="195"/>
      <c r="AN70" s="195"/>
      <c r="AO70" s="195"/>
      <c r="AP70" s="52"/>
      <c r="AQ70" s="52"/>
      <c r="AR70" s="52"/>
      <c r="AS70" s="52"/>
      <c r="AT70" s="52"/>
      <c r="AU70" s="52"/>
      <c r="AV70" s="52"/>
      <c r="AW70" s="52"/>
      <c r="AX70" s="52"/>
      <c r="AY70" s="52"/>
      <c r="AZ70" s="52"/>
      <c r="BA70" s="52"/>
      <c r="BB70" s="52"/>
      <c r="BC70" s="52"/>
      <c r="BD70" s="52"/>
      <c r="BE70" s="52"/>
      <c r="BF70" s="52"/>
      <c r="BG70" s="52"/>
      <c r="BH70" s="52"/>
      <c r="BI70" s="52"/>
      <c r="BJ70" s="52"/>
      <c r="BK70" s="52"/>
      <c r="BL70" s="52"/>
      <c r="BM70" s="52"/>
      <c r="BN70" s="52"/>
      <c r="BO70" s="52"/>
      <c r="BP70" s="52"/>
      <c r="BQ70" s="52"/>
      <c r="BR70" s="52"/>
      <c r="BS70" s="52"/>
      <c r="BT70" s="52"/>
      <c r="BU70" s="52"/>
      <c r="BV70" s="52"/>
      <c r="BW70" s="52"/>
      <c r="BX70" s="52"/>
      <c r="BY70" s="52"/>
      <c r="BZ70" s="52"/>
      <c r="CA70" s="52"/>
      <c r="CB70" s="52"/>
      <c r="CC70" s="52"/>
      <c r="CD70" s="52"/>
      <c r="CE70" s="52"/>
      <c r="CF70" s="52"/>
      <c r="CG70" s="52"/>
      <c r="CH70" s="52"/>
      <c r="CI70" s="52"/>
      <c r="CJ70" s="52"/>
      <c r="CK70" s="52"/>
      <c r="CL70" s="52"/>
      <c r="CM70" s="52"/>
      <c r="CN70" s="52"/>
      <c r="CO70" s="52"/>
      <c r="CP70" s="52"/>
      <c r="CQ70" s="52"/>
      <c r="CR70" s="52"/>
      <c r="CS70" s="52"/>
      <c r="CT70" s="52"/>
      <c r="CU70" s="52"/>
      <c r="CV70" s="52"/>
      <c r="CW70" s="52"/>
      <c r="CX70" s="52"/>
      <c r="CY70" s="52"/>
      <c r="CZ70" s="52"/>
      <c r="DA70" s="52"/>
      <c r="DB70" s="52"/>
      <c r="DC70" s="52"/>
      <c r="DD70" s="52"/>
      <c r="DE70" s="52"/>
      <c r="DF70" s="52"/>
      <c r="DG70" s="52"/>
      <c r="DH70" s="52"/>
      <c r="DI70" s="52"/>
      <c r="DJ70" s="52"/>
      <c r="DK70" s="52"/>
      <c r="DL70" s="52"/>
      <c r="DM70" s="52"/>
      <c r="DN70" s="52"/>
      <c r="DO70" s="52"/>
      <c r="DP70" s="52"/>
      <c r="DQ70" s="52"/>
      <c r="DR70" s="52"/>
      <c r="DS70" s="52"/>
      <c r="DT70" s="52"/>
      <c r="DU70" s="52"/>
      <c r="DV70" s="52"/>
      <c r="DW70" s="52"/>
      <c r="DX70" s="52"/>
      <c r="DY70" s="52"/>
      <c r="DZ70" s="52"/>
      <c r="EA70" s="52"/>
      <c r="EB70" s="52"/>
      <c r="EC70" s="52"/>
      <c r="ED70" s="52"/>
      <c r="EE70" s="52"/>
      <c r="EF70" s="52"/>
      <c r="EG70" s="52"/>
      <c r="EH70" s="52"/>
      <c r="EI70" s="52"/>
      <c r="EJ70" s="52"/>
      <c r="EK70" s="52"/>
      <c r="EL70" s="52"/>
      <c r="EM70" s="52"/>
      <c r="EN70" s="52"/>
      <c r="EO70" s="52"/>
      <c r="EP70" s="52"/>
      <c r="EQ70" s="52"/>
      <c r="ER70" s="52"/>
      <c r="ES70" s="52"/>
      <c r="ET70" s="52"/>
      <c r="EU70" s="52"/>
      <c r="EV70" s="52"/>
      <c r="EW70" s="52"/>
      <c r="EX70" s="52"/>
      <c r="EY70" s="52"/>
      <c r="EZ70" s="52"/>
      <c r="FA70" s="52"/>
      <c r="FB70" s="52"/>
      <c r="FC70" s="52"/>
      <c r="FD70" s="52"/>
      <c r="FE70" s="52"/>
      <c r="FF70" s="52"/>
      <c r="FG70" s="52"/>
      <c r="FH70" s="52"/>
      <c r="FI70" s="52"/>
      <c r="FJ70" s="52"/>
      <c r="FK70" s="52"/>
      <c r="FL70" s="52"/>
      <c r="FM70" s="52"/>
      <c r="FN70" s="52"/>
      <c r="FO70" s="52"/>
      <c r="FP70" s="52"/>
      <c r="FQ70" s="52"/>
      <c r="FR70" s="52"/>
      <c r="FS70" s="52"/>
      <c r="FT70" s="52"/>
      <c r="FU70" s="52"/>
    </row>
    <row r="71" spans="1:177" ht="11.25" customHeight="1">
      <c r="A71" s="35"/>
      <c r="J71" s="18"/>
      <c r="K71" s="10"/>
      <c r="L71" s="10"/>
      <c r="M71" s="10"/>
      <c r="N71" s="10"/>
      <c r="O71" s="10"/>
      <c r="P71" s="10"/>
      <c r="S71" s="10"/>
      <c r="AD71" s="195"/>
      <c r="AE71" s="195"/>
      <c r="AF71" s="195"/>
      <c r="AG71" s="195"/>
      <c r="AH71" s="195"/>
      <c r="AI71" s="195"/>
      <c r="AJ71" s="195"/>
      <c r="AK71" s="195"/>
      <c r="AL71" s="195"/>
      <c r="AM71" s="195"/>
      <c r="AN71" s="195"/>
      <c r="AO71" s="195"/>
      <c r="AP71" s="52"/>
      <c r="AQ71" s="52"/>
      <c r="AR71" s="52"/>
      <c r="AS71" s="52"/>
      <c r="AT71" s="52"/>
      <c r="AU71" s="52"/>
      <c r="AV71" s="52"/>
      <c r="AW71" s="52"/>
      <c r="AX71" s="52"/>
      <c r="AY71" s="52"/>
      <c r="AZ71" s="52"/>
      <c r="BA71" s="52"/>
      <c r="BB71" s="52"/>
      <c r="BC71" s="52"/>
      <c r="BD71" s="52"/>
      <c r="BE71" s="52"/>
      <c r="BF71" s="52"/>
      <c r="BG71" s="52"/>
      <c r="BH71" s="52"/>
      <c r="BI71" s="52"/>
      <c r="BJ71" s="52"/>
      <c r="BK71" s="52"/>
      <c r="BL71" s="52"/>
      <c r="BM71" s="52"/>
      <c r="BN71" s="52"/>
      <c r="BO71" s="52"/>
      <c r="BP71" s="52"/>
      <c r="BQ71" s="52"/>
      <c r="BR71" s="52"/>
      <c r="BS71" s="52"/>
      <c r="BT71" s="52"/>
      <c r="BU71" s="52"/>
      <c r="BV71" s="52"/>
      <c r="BW71" s="52"/>
      <c r="BX71" s="52"/>
      <c r="BY71" s="52"/>
      <c r="BZ71" s="52"/>
      <c r="CA71" s="52"/>
      <c r="CB71" s="52"/>
      <c r="CC71" s="52"/>
      <c r="CD71" s="52"/>
      <c r="CE71" s="52"/>
      <c r="CF71" s="52"/>
      <c r="CG71" s="52"/>
      <c r="CH71" s="52"/>
      <c r="CI71" s="52"/>
      <c r="CJ71" s="52"/>
      <c r="CK71" s="52"/>
      <c r="CL71" s="52"/>
      <c r="CM71" s="52"/>
      <c r="CN71" s="52"/>
      <c r="CO71" s="52"/>
      <c r="CP71" s="52"/>
      <c r="CQ71" s="52"/>
      <c r="CR71" s="52"/>
      <c r="CS71" s="52"/>
      <c r="CT71" s="52"/>
      <c r="CU71" s="52"/>
      <c r="CV71" s="52"/>
      <c r="CW71" s="52"/>
      <c r="CX71" s="52"/>
      <c r="CY71" s="52"/>
      <c r="CZ71" s="52"/>
      <c r="DA71" s="52"/>
      <c r="DB71" s="52"/>
      <c r="DC71" s="52"/>
      <c r="DD71" s="52"/>
      <c r="DE71" s="52"/>
      <c r="DF71" s="52"/>
      <c r="DG71" s="52"/>
      <c r="DH71" s="52"/>
      <c r="DI71" s="52"/>
      <c r="DJ71" s="52"/>
      <c r="DK71" s="52"/>
      <c r="DL71" s="52"/>
      <c r="DM71" s="52"/>
      <c r="DN71" s="52"/>
      <c r="DO71" s="52"/>
      <c r="DP71" s="52"/>
      <c r="DQ71" s="52"/>
      <c r="DR71" s="52"/>
      <c r="DS71" s="52"/>
      <c r="DT71" s="52"/>
      <c r="DU71" s="52"/>
      <c r="DV71" s="52"/>
      <c r="DW71" s="52"/>
      <c r="DX71" s="52"/>
      <c r="DY71" s="52"/>
      <c r="DZ71" s="52"/>
      <c r="EA71" s="52"/>
      <c r="EB71" s="52"/>
      <c r="EC71" s="52"/>
      <c r="ED71" s="52"/>
      <c r="EE71" s="52"/>
      <c r="EF71" s="52"/>
      <c r="EG71" s="52"/>
      <c r="EH71" s="52"/>
      <c r="EI71" s="52"/>
      <c r="EJ71" s="52"/>
      <c r="EK71" s="52"/>
      <c r="EL71" s="52"/>
      <c r="EM71" s="52"/>
      <c r="EN71" s="52"/>
      <c r="EO71" s="52"/>
      <c r="EP71" s="52"/>
      <c r="EQ71" s="52"/>
      <c r="ER71" s="52"/>
      <c r="ES71" s="52"/>
      <c r="ET71" s="52"/>
      <c r="EU71" s="52"/>
      <c r="EV71" s="52"/>
      <c r="EW71" s="52"/>
      <c r="EX71" s="52"/>
      <c r="EY71" s="52"/>
      <c r="EZ71" s="52"/>
      <c r="FA71" s="52"/>
      <c r="FB71" s="52"/>
      <c r="FC71" s="52"/>
      <c r="FD71" s="52"/>
      <c r="FE71" s="52"/>
      <c r="FF71" s="52"/>
      <c r="FG71" s="52"/>
      <c r="FH71" s="52"/>
      <c r="FI71" s="52"/>
      <c r="FJ71" s="52"/>
      <c r="FK71" s="52"/>
      <c r="FL71" s="52"/>
      <c r="FM71" s="52"/>
      <c r="FN71" s="52"/>
      <c r="FO71" s="52"/>
      <c r="FP71" s="52"/>
      <c r="FQ71" s="52"/>
      <c r="FR71" s="52"/>
      <c r="FS71" s="52"/>
      <c r="FT71" s="52"/>
      <c r="FU71" s="52"/>
    </row>
    <row r="72" spans="1:177" ht="11.25" customHeight="1">
      <c r="A72" s="35"/>
      <c r="J72" s="18"/>
      <c r="K72" s="10"/>
      <c r="L72" s="10"/>
      <c r="M72" s="10"/>
      <c r="N72" s="10"/>
      <c r="O72" s="10"/>
      <c r="P72" s="10"/>
      <c r="S72" s="10"/>
      <c r="AD72" s="195"/>
      <c r="AE72" s="195"/>
      <c r="AF72" s="195"/>
      <c r="AG72" s="195"/>
      <c r="AH72" s="195"/>
      <c r="AI72" s="195"/>
      <c r="AJ72" s="195"/>
      <c r="AK72" s="195"/>
      <c r="AL72" s="195"/>
      <c r="AM72" s="195"/>
      <c r="AN72" s="195"/>
      <c r="AO72" s="195"/>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c r="BO72" s="52"/>
      <c r="BP72" s="52"/>
      <c r="BQ72" s="52"/>
      <c r="BR72" s="52"/>
      <c r="BS72" s="52"/>
      <c r="BT72" s="52"/>
      <c r="BU72" s="52"/>
      <c r="BV72" s="52"/>
      <c r="BW72" s="52"/>
      <c r="BX72" s="52"/>
      <c r="BY72" s="52"/>
      <c r="BZ72" s="52"/>
      <c r="CA72" s="52"/>
      <c r="CB72" s="52"/>
      <c r="CC72" s="52"/>
      <c r="CD72" s="52"/>
      <c r="CE72" s="52"/>
      <c r="CF72" s="52"/>
      <c r="CG72" s="52"/>
      <c r="CH72" s="52"/>
      <c r="CI72" s="52"/>
      <c r="CJ72" s="52"/>
      <c r="CK72" s="52"/>
      <c r="CL72" s="52"/>
      <c r="CM72" s="52"/>
      <c r="CN72" s="52"/>
      <c r="CO72" s="52"/>
      <c r="CP72" s="52"/>
      <c r="CQ72" s="52"/>
      <c r="CR72" s="52"/>
      <c r="CS72" s="52"/>
      <c r="CT72" s="52"/>
      <c r="CU72" s="52"/>
      <c r="CV72" s="52"/>
      <c r="CW72" s="52"/>
      <c r="CX72" s="52"/>
      <c r="CY72" s="52"/>
      <c r="CZ72" s="52"/>
      <c r="DA72" s="52"/>
      <c r="DB72" s="52"/>
      <c r="DC72" s="52"/>
      <c r="DD72" s="52"/>
      <c r="DE72" s="52"/>
      <c r="DF72" s="52"/>
      <c r="DG72" s="52"/>
      <c r="DH72" s="52"/>
      <c r="DI72" s="52"/>
      <c r="DJ72" s="52"/>
      <c r="DK72" s="52"/>
      <c r="DL72" s="52"/>
      <c r="DM72" s="52"/>
      <c r="DN72" s="52"/>
      <c r="DO72" s="52"/>
      <c r="DP72" s="52"/>
      <c r="DQ72" s="52"/>
      <c r="DR72" s="52"/>
      <c r="DS72" s="52"/>
      <c r="DT72" s="52"/>
      <c r="DU72" s="52"/>
      <c r="DV72" s="52"/>
      <c r="DW72" s="52"/>
      <c r="DX72" s="52"/>
      <c r="DY72" s="52"/>
      <c r="DZ72" s="52"/>
      <c r="EA72" s="52"/>
      <c r="EB72" s="52"/>
      <c r="EC72" s="52"/>
      <c r="ED72" s="52"/>
      <c r="EE72" s="52"/>
      <c r="EF72" s="52"/>
      <c r="EG72" s="52"/>
      <c r="EH72" s="52"/>
      <c r="EI72" s="52"/>
      <c r="EJ72" s="52"/>
      <c r="EK72" s="52"/>
      <c r="EL72" s="52"/>
      <c r="EM72" s="52"/>
      <c r="EN72" s="52"/>
      <c r="EO72" s="52"/>
      <c r="EP72" s="52"/>
      <c r="EQ72" s="52"/>
      <c r="ER72" s="52"/>
      <c r="ES72" s="52"/>
      <c r="ET72" s="52"/>
      <c r="EU72" s="52"/>
      <c r="EV72" s="52"/>
      <c r="EW72" s="52"/>
      <c r="EX72" s="52"/>
      <c r="EY72" s="52"/>
      <c r="EZ72" s="52"/>
      <c r="FA72" s="52"/>
      <c r="FB72" s="52"/>
      <c r="FC72" s="52"/>
      <c r="FD72" s="52"/>
      <c r="FE72" s="52"/>
      <c r="FF72" s="52"/>
      <c r="FG72" s="52"/>
      <c r="FH72" s="52"/>
      <c r="FI72" s="52"/>
      <c r="FJ72" s="52"/>
      <c r="FK72" s="52"/>
      <c r="FL72" s="52"/>
      <c r="FM72" s="52"/>
      <c r="FN72" s="52"/>
      <c r="FO72" s="52"/>
      <c r="FP72" s="52"/>
      <c r="FQ72" s="52"/>
      <c r="FR72" s="52"/>
      <c r="FS72" s="52"/>
      <c r="FT72" s="52"/>
      <c r="FU72" s="52"/>
    </row>
    <row r="73" spans="1:177" ht="11.25" customHeight="1">
      <c r="A73" s="35"/>
      <c r="B73" s="243"/>
      <c r="C73" s="444"/>
      <c r="D73" s="319"/>
      <c r="E73" s="32"/>
      <c r="F73" s="236"/>
      <c r="G73" s="236"/>
      <c r="H73" s="236"/>
      <c r="I73" s="32"/>
      <c r="J73" s="135"/>
      <c r="K73" s="10"/>
      <c r="L73" s="10"/>
      <c r="M73" s="10"/>
      <c r="N73" s="10"/>
      <c r="O73" s="10"/>
      <c r="P73" s="10"/>
      <c r="S73" s="10"/>
      <c r="T73" s="13"/>
      <c r="U73" s="13"/>
      <c r="V73" s="13"/>
      <c r="W73" s="13"/>
      <c r="X73" s="166"/>
      <c r="Y73" s="13"/>
      <c r="Z73" s="13"/>
      <c r="AA73" s="13"/>
      <c r="AB73" s="13"/>
      <c r="AC73" s="13"/>
      <c r="AD73" s="195"/>
      <c r="AE73" s="195"/>
      <c r="AF73" s="195"/>
      <c r="AG73" s="195"/>
      <c r="AH73" s="195"/>
      <c r="AI73" s="195"/>
      <c r="AJ73" s="195"/>
      <c r="AK73" s="195"/>
      <c r="AL73" s="195"/>
      <c r="AM73" s="195"/>
      <c r="AN73" s="195"/>
      <c r="AO73" s="195"/>
      <c r="AP73" s="52"/>
      <c r="AQ73" s="52"/>
      <c r="AR73" s="52"/>
      <c r="AS73" s="52"/>
      <c r="AT73" s="52"/>
      <c r="AU73" s="52"/>
      <c r="AV73" s="52"/>
      <c r="AW73" s="52"/>
      <c r="AX73" s="52"/>
      <c r="AY73" s="52"/>
      <c r="AZ73" s="52"/>
      <c r="BA73" s="52"/>
      <c r="BB73" s="52"/>
      <c r="BC73" s="52"/>
      <c r="BD73" s="52"/>
      <c r="BE73" s="52"/>
      <c r="BF73" s="52"/>
      <c r="BG73" s="52"/>
      <c r="BH73" s="52"/>
      <c r="BI73" s="52"/>
      <c r="BJ73" s="52"/>
      <c r="BK73" s="52"/>
      <c r="BL73" s="52"/>
      <c r="BM73" s="52"/>
      <c r="BN73" s="52"/>
      <c r="BO73" s="52"/>
      <c r="BP73" s="52"/>
      <c r="BQ73" s="52"/>
      <c r="BR73" s="52"/>
      <c r="BS73" s="52"/>
      <c r="BT73" s="52"/>
      <c r="BU73" s="52"/>
      <c r="BV73" s="52"/>
      <c r="BW73" s="52"/>
      <c r="BX73" s="52"/>
      <c r="BY73" s="52"/>
      <c r="BZ73" s="52"/>
      <c r="CA73" s="52"/>
      <c r="CB73" s="52"/>
      <c r="CC73" s="52"/>
      <c r="CD73" s="52"/>
      <c r="CE73" s="52"/>
      <c r="CF73" s="52"/>
      <c r="CG73" s="52"/>
      <c r="CH73" s="52"/>
      <c r="CI73" s="52"/>
      <c r="CJ73" s="52"/>
      <c r="CK73" s="52"/>
      <c r="CL73" s="52"/>
      <c r="CM73" s="52"/>
      <c r="CN73" s="52"/>
      <c r="CO73" s="52"/>
      <c r="CP73" s="52"/>
      <c r="CQ73" s="52"/>
      <c r="CR73" s="52"/>
      <c r="CS73" s="52"/>
      <c r="CT73" s="52"/>
      <c r="CU73" s="52"/>
      <c r="CV73" s="52"/>
      <c r="CW73" s="52"/>
      <c r="CX73" s="52"/>
      <c r="CY73" s="52"/>
      <c r="CZ73" s="52"/>
      <c r="DA73" s="52"/>
      <c r="DB73" s="52"/>
      <c r="DC73" s="52"/>
      <c r="DD73" s="52"/>
      <c r="DE73" s="52"/>
      <c r="DF73" s="52"/>
      <c r="DG73" s="52"/>
      <c r="DH73" s="52"/>
      <c r="DI73" s="52"/>
      <c r="DJ73" s="52"/>
      <c r="DK73" s="52"/>
      <c r="DL73" s="52"/>
      <c r="DM73" s="52"/>
      <c r="DN73" s="52"/>
      <c r="DO73" s="52"/>
      <c r="DP73" s="52"/>
      <c r="DQ73" s="52"/>
      <c r="DR73" s="52"/>
      <c r="DS73" s="52"/>
      <c r="DT73" s="52"/>
      <c r="DU73" s="52"/>
      <c r="DV73" s="52"/>
      <c r="DW73" s="52"/>
      <c r="DX73" s="52"/>
      <c r="DY73" s="52"/>
      <c r="DZ73" s="52"/>
      <c r="EA73" s="52"/>
      <c r="EB73" s="52"/>
      <c r="EC73" s="52"/>
      <c r="ED73" s="52"/>
      <c r="EE73" s="52"/>
      <c r="EF73" s="52"/>
      <c r="EG73" s="52"/>
      <c r="EH73" s="52"/>
      <c r="EI73" s="52"/>
      <c r="EJ73" s="52"/>
      <c r="EK73" s="52"/>
      <c r="EL73" s="52"/>
      <c r="EM73" s="52"/>
      <c r="EN73" s="52"/>
      <c r="EO73" s="52"/>
      <c r="EP73" s="52"/>
      <c r="EQ73" s="52"/>
      <c r="ER73" s="52"/>
      <c r="ES73" s="52"/>
      <c r="ET73" s="52"/>
      <c r="EU73" s="52"/>
      <c r="EV73" s="52"/>
      <c r="EW73" s="52"/>
      <c r="EX73" s="52"/>
      <c r="EY73" s="52"/>
      <c r="EZ73" s="52"/>
      <c r="FA73" s="52"/>
      <c r="FB73" s="52"/>
      <c r="FC73" s="52"/>
      <c r="FD73" s="52"/>
      <c r="FE73" s="52"/>
      <c r="FF73" s="52"/>
      <c r="FG73" s="52"/>
      <c r="FH73" s="52"/>
      <c r="FI73" s="52"/>
      <c r="FJ73" s="52"/>
      <c r="FK73" s="52"/>
      <c r="FL73" s="52"/>
      <c r="FM73" s="52"/>
      <c r="FN73" s="52"/>
      <c r="FO73" s="52"/>
      <c r="FP73" s="52"/>
      <c r="FQ73" s="52"/>
      <c r="FR73" s="52"/>
      <c r="FS73" s="52"/>
      <c r="FT73" s="52"/>
      <c r="FU73" s="52"/>
    </row>
    <row r="74" spans="1:177" ht="11.25" customHeight="1">
      <c r="A74" s="215"/>
      <c r="B74" s="55" t="s">
        <v>748</v>
      </c>
      <c r="C74" s="236"/>
      <c r="D74" s="236"/>
      <c r="E74" s="236"/>
      <c r="F74" s="236"/>
      <c r="G74" s="249"/>
      <c r="H74" s="250" t="s">
        <v>162</v>
      </c>
      <c r="I74" s="147"/>
      <c r="J74" s="135"/>
      <c r="K74" s="247"/>
      <c r="L74" s="247"/>
      <c r="M74" s="247"/>
      <c r="N74" s="247"/>
      <c r="O74" s="247"/>
      <c r="P74" s="247"/>
      <c r="Q74" s="247"/>
      <c r="R74" s="247"/>
      <c r="S74" s="247"/>
      <c r="T74" s="247"/>
      <c r="U74" s="247"/>
      <c r="V74" s="247"/>
      <c r="W74" s="247"/>
      <c r="X74" s="251"/>
      <c r="Y74" s="247"/>
      <c r="Z74" s="247"/>
      <c r="AA74" s="247"/>
      <c r="AB74" s="247"/>
      <c r="AC74" s="247"/>
      <c r="AD74" s="252"/>
      <c r="AE74" s="252"/>
      <c r="AF74" s="252"/>
      <c r="AG74" s="252"/>
      <c r="AH74" s="252"/>
      <c r="AI74" s="252"/>
      <c r="AJ74" s="252"/>
      <c r="AK74" s="252"/>
      <c r="AL74" s="252"/>
      <c r="AM74" s="252"/>
      <c r="AN74" s="252"/>
      <c r="AO74" s="252"/>
      <c r="AP74" s="52"/>
      <c r="AQ74" s="52"/>
      <c r="AR74" s="52"/>
      <c r="AS74" s="52"/>
      <c r="AT74" s="52"/>
      <c r="AU74" s="52"/>
      <c r="AV74" s="52"/>
      <c r="AW74" s="52"/>
      <c r="AX74" s="52"/>
      <c r="AY74" s="52"/>
      <c r="AZ74" s="52"/>
      <c r="BA74" s="52"/>
      <c r="BB74" s="52"/>
      <c r="BC74" s="52"/>
      <c r="BD74" s="52"/>
      <c r="BE74" s="52"/>
      <c r="BF74" s="52"/>
      <c r="BG74" s="52"/>
      <c r="BH74" s="52"/>
      <c r="BI74" s="52"/>
      <c r="BJ74" s="52"/>
      <c r="BK74" s="52"/>
      <c r="BL74" s="52"/>
      <c r="BM74" s="52"/>
      <c r="BN74" s="52"/>
      <c r="BO74" s="52"/>
      <c r="BP74" s="52"/>
      <c r="BQ74" s="52"/>
      <c r="BR74" s="52"/>
      <c r="BS74" s="52"/>
      <c r="BT74" s="52"/>
      <c r="BU74" s="52"/>
      <c r="BV74" s="52"/>
      <c r="BW74" s="52"/>
      <c r="BX74" s="52"/>
      <c r="BY74" s="52"/>
      <c r="BZ74" s="52"/>
      <c r="CA74" s="52"/>
      <c r="CB74" s="52"/>
      <c r="CC74" s="52"/>
      <c r="CD74" s="52"/>
      <c r="CE74" s="52"/>
      <c r="CF74" s="52"/>
      <c r="CG74" s="52"/>
      <c r="CH74" s="52"/>
      <c r="CI74" s="52"/>
      <c r="CJ74" s="52"/>
      <c r="CK74" s="52"/>
      <c r="CL74" s="52"/>
      <c r="CM74" s="52"/>
      <c r="CN74" s="52"/>
      <c r="CO74" s="52"/>
      <c r="CP74" s="52"/>
      <c r="CQ74" s="52"/>
      <c r="CR74" s="52"/>
      <c r="CS74" s="52"/>
      <c r="CT74" s="52"/>
      <c r="CU74" s="52"/>
      <c r="CV74" s="52"/>
      <c r="CW74" s="52"/>
      <c r="CX74" s="52"/>
      <c r="CY74" s="52"/>
      <c r="CZ74" s="52"/>
      <c r="DA74" s="52"/>
      <c r="DB74" s="52"/>
      <c r="DC74" s="52"/>
      <c r="DD74" s="52"/>
      <c r="DE74" s="52"/>
      <c r="DF74" s="52"/>
      <c r="DG74" s="52"/>
      <c r="DH74" s="52"/>
      <c r="DI74" s="52"/>
      <c r="DJ74" s="52"/>
      <c r="DK74" s="52"/>
      <c r="DL74" s="52"/>
      <c r="DM74" s="52"/>
      <c r="DN74" s="52"/>
      <c r="DO74" s="52"/>
      <c r="DP74" s="52"/>
      <c r="DQ74" s="52"/>
      <c r="DR74" s="52"/>
      <c r="DS74" s="52"/>
      <c r="DT74" s="52"/>
      <c r="DU74" s="52"/>
      <c r="DV74" s="52"/>
      <c r="DW74" s="52"/>
      <c r="DX74" s="52"/>
      <c r="DY74" s="52"/>
      <c r="DZ74" s="52"/>
      <c r="EA74" s="52"/>
      <c r="EB74" s="52"/>
      <c r="EC74" s="52"/>
      <c r="ED74" s="52"/>
      <c r="EE74" s="52"/>
      <c r="EF74" s="52"/>
      <c r="EG74" s="52"/>
      <c r="EH74" s="52"/>
      <c r="EI74" s="52"/>
      <c r="EJ74" s="52"/>
      <c r="EK74" s="52"/>
      <c r="EL74" s="52"/>
      <c r="EM74" s="52"/>
      <c r="EN74" s="52"/>
      <c r="EO74" s="52"/>
      <c r="EP74" s="52"/>
      <c r="EQ74" s="52"/>
      <c r="ER74" s="52"/>
      <c r="ES74" s="52"/>
      <c r="ET74" s="52"/>
      <c r="EU74" s="52"/>
      <c r="EV74" s="52"/>
      <c r="EW74" s="52"/>
      <c r="EX74" s="52"/>
      <c r="EY74" s="52"/>
      <c r="EZ74" s="52"/>
      <c r="FA74" s="52"/>
      <c r="FB74" s="52"/>
      <c r="FC74" s="52"/>
      <c r="FD74" s="52"/>
      <c r="FE74" s="52"/>
      <c r="FF74" s="52"/>
      <c r="FG74" s="52"/>
      <c r="FH74" s="52"/>
      <c r="FI74" s="52"/>
      <c r="FJ74" s="52"/>
      <c r="FK74" s="52"/>
      <c r="FL74" s="52"/>
      <c r="FM74" s="52"/>
      <c r="FN74" s="52"/>
      <c r="FO74" s="52"/>
      <c r="FP74" s="52"/>
      <c r="FQ74" s="52"/>
      <c r="FR74" s="52"/>
      <c r="FS74" s="52"/>
      <c r="FT74" s="52"/>
      <c r="FU74" s="52"/>
    </row>
    <row r="75" spans="1:177" ht="11.25" customHeight="1">
      <c r="A75" s="108"/>
      <c r="B75" s="36" t="s">
        <v>150</v>
      </c>
      <c r="C75" s="43" t="s">
        <v>151</v>
      </c>
      <c r="D75" s="253"/>
      <c r="E75" s="254" t="s">
        <v>153</v>
      </c>
      <c r="F75" s="40"/>
      <c r="G75" s="255"/>
      <c r="H75" s="256" t="s">
        <v>125</v>
      </c>
      <c r="I75" s="257" t="s">
        <v>154</v>
      </c>
      <c r="J75" s="258"/>
      <c r="K75" s="10"/>
      <c r="L75" s="10"/>
      <c r="M75" s="10"/>
      <c r="N75" s="10"/>
      <c r="O75" s="10"/>
      <c r="P75" s="10"/>
      <c r="S75" s="10"/>
      <c r="T75" s="13"/>
      <c r="U75" s="13"/>
      <c r="V75" s="13"/>
      <c r="W75" s="13"/>
      <c r="X75" s="166"/>
      <c r="Y75" s="13"/>
      <c r="Z75" s="13"/>
      <c r="AA75" s="13"/>
      <c r="AB75" s="13"/>
      <c r="AC75" s="13"/>
      <c r="AD75" s="195"/>
      <c r="AE75" s="195"/>
      <c r="AF75" s="195"/>
      <c r="AG75" s="195"/>
      <c r="AH75" s="195"/>
      <c r="AI75" s="195"/>
      <c r="AJ75" s="195"/>
      <c r="AK75" s="195"/>
      <c r="AL75" s="195"/>
      <c r="AM75" s="195"/>
      <c r="AN75" s="195"/>
      <c r="AO75" s="195"/>
      <c r="AP75" s="52"/>
      <c r="AQ75" s="52"/>
      <c r="AR75" s="52"/>
      <c r="AS75" s="52"/>
      <c r="AT75" s="52"/>
      <c r="AU75" s="52"/>
      <c r="AV75" s="52"/>
      <c r="AW75" s="52"/>
      <c r="AX75" s="52"/>
      <c r="AY75" s="52"/>
      <c r="AZ75" s="52"/>
      <c r="BA75" s="52"/>
      <c r="BB75" s="52"/>
      <c r="BC75" s="52"/>
      <c r="BD75" s="52"/>
      <c r="BE75" s="52"/>
      <c r="BF75" s="52"/>
      <c r="BG75" s="52"/>
      <c r="BH75" s="52"/>
      <c r="BI75" s="52"/>
      <c r="BJ75" s="52"/>
      <c r="BK75" s="52"/>
      <c r="BL75" s="52"/>
      <c r="BM75" s="52"/>
      <c r="BN75" s="52"/>
      <c r="BO75" s="52"/>
      <c r="BP75" s="52"/>
      <c r="BQ75" s="52"/>
      <c r="BR75" s="52"/>
      <c r="BS75" s="52"/>
      <c r="BT75" s="52"/>
      <c r="BU75" s="52"/>
      <c r="BV75" s="52"/>
      <c r="BW75" s="52"/>
      <c r="BX75" s="52"/>
      <c r="BY75" s="52"/>
      <c r="BZ75" s="52"/>
      <c r="CA75" s="52"/>
      <c r="CB75" s="52"/>
      <c r="CC75" s="52"/>
      <c r="CD75" s="52"/>
      <c r="CE75" s="52"/>
      <c r="CF75" s="52"/>
      <c r="CG75" s="52"/>
      <c r="CH75" s="52"/>
      <c r="CI75" s="52"/>
      <c r="CJ75" s="52"/>
      <c r="CK75" s="52"/>
      <c r="CL75" s="52"/>
      <c r="CM75" s="52"/>
      <c r="CN75" s="52"/>
      <c r="CO75" s="52"/>
      <c r="CP75" s="52"/>
      <c r="CQ75" s="52"/>
      <c r="CR75" s="52"/>
      <c r="CS75" s="52"/>
      <c r="CT75" s="52"/>
      <c r="CU75" s="52"/>
      <c r="CV75" s="52"/>
      <c r="CW75" s="52"/>
      <c r="CX75" s="52"/>
      <c r="CY75" s="52"/>
      <c r="CZ75" s="52"/>
      <c r="DA75" s="52"/>
      <c r="DB75" s="52"/>
      <c r="DC75" s="52"/>
      <c r="DD75" s="52"/>
      <c r="DE75" s="52"/>
      <c r="DF75" s="52"/>
      <c r="DG75" s="52"/>
      <c r="DH75" s="52"/>
      <c r="DI75" s="52"/>
      <c r="DJ75" s="52"/>
      <c r="DK75" s="52"/>
      <c r="DL75" s="52"/>
      <c r="DM75" s="52"/>
      <c r="DN75" s="52"/>
      <c r="DO75" s="52"/>
      <c r="DP75" s="52"/>
      <c r="DQ75" s="52"/>
      <c r="DR75" s="52"/>
      <c r="DS75" s="52"/>
      <c r="DT75" s="52"/>
      <c r="DU75" s="52"/>
      <c r="DV75" s="52"/>
      <c r="DW75" s="52"/>
      <c r="DX75" s="52"/>
      <c r="DY75" s="52"/>
      <c r="DZ75" s="52"/>
      <c r="EA75" s="52"/>
      <c r="EB75" s="52"/>
      <c r="EC75" s="52"/>
      <c r="ED75" s="52"/>
      <c r="EE75" s="52"/>
      <c r="EF75" s="52"/>
      <c r="EG75" s="52"/>
      <c r="EH75" s="52"/>
      <c r="EI75" s="52"/>
      <c r="EJ75" s="52"/>
      <c r="EK75" s="52"/>
      <c r="EL75" s="52"/>
      <c r="EM75" s="52"/>
      <c r="EN75" s="52"/>
      <c r="EO75" s="52"/>
      <c r="EP75" s="52"/>
      <c r="EQ75" s="52"/>
      <c r="ER75" s="52"/>
      <c r="ES75" s="52"/>
      <c r="ET75" s="52"/>
      <c r="EU75" s="52"/>
      <c r="EV75" s="52"/>
      <c r="EW75" s="52"/>
      <c r="EX75" s="52"/>
      <c r="EY75" s="52"/>
      <c r="EZ75" s="52"/>
      <c r="FA75" s="52"/>
      <c r="FB75" s="52"/>
      <c r="FC75" s="52"/>
      <c r="FD75" s="52"/>
      <c r="FE75" s="52"/>
      <c r="FF75" s="52"/>
      <c r="FG75" s="52"/>
      <c r="FH75" s="52"/>
      <c r="FI75" s="52"/>
      <c r="FJ75" s="52"/>
      <c r="FK75" s="52"/>
      <c r="FL75" s="52"/>
      <c r="FM75" s="52"/>
      <c r="FN75" s="52"/>
      <c r="FO75" s="52"/>
      <c r="FP75" s="52"/>
      <c r="FQ75" s="52"/>
      <c r="FR75" s="52"/>
      <c r="FS75" s="52"/>
      <c r="FT75" s="52"/>
      <c r="FU75" s="52"/>
    </row>
    <row r="76" spans="1:177" ht="11.25" customHeight="1">
      <c r="A76" s="209"/>
      <c r="B76" s="159"/>
      <c r="C76" s="259"/>
      <c r="D76" s="57"/>
      <c r="E76" s="260"/>
      <c r="F76" s="261" t="s">
        <v>175</v>
      </c>
      <c r="G76" s="262" t="s">
        <v>174</v>
      </c>
      <c r="H76" s="263" t="s">
        <v>128</v>
      </c>
      <c r="I76" s="264" t="s">
        <v>130</v>
      </c>
      <c r="J76" s="265"/>
      <c r="K76" s="10"/>
      <c r="L76" s="10"/>
      <c r="M76" s="10"/>
      <c r="N76" s="10"/>
      <c r="O76" s="10"/>
      <c r="P76" s="10"/>
      <c r="S76" s="10"/>
      <c r="T76" s="13"/>
      <c r="U76" s="13"/>
      <c r="V76" s="13"/>
      <c r="W76" s="13"/>
      <c r="X76" s="166"/>
      <c r="Y76" s="13"/>
      <c r="Z76" s="13"/>
      <c r="AA76" s="13"/>
      <c r="AB76" s="13"/>
      <c r="AC76" s="13"/>
      <c r="AD76" s="195"/>
      <c r="AE76" s="195"/>
      <c r="AF76" s="195"/>
      <c r="AG76" s="195"/>
      <c r="AH76" s="195"/>
      <c r="AI76" s="195"/>
      <c r="AJ76" s="195"/>
      <c r="AK76" s="195"/>
      <c r="AL76" s="195"/>
      <c r="AM76" s="195"/>
      <c r="AN76" s="195"/>
      <c r="AO76" s="195"/>
      <c r="AP76" s="52"/>
      <c r="AQ76" s="52"/>
      <c r="AR76" s="52"/>
      <c r="AS76" s="52"/>
      <c r="AT76" s="52"/>
      <c r="AU76" s="52"/>
      <c r="AV76" s="52"/>
      <c r="AW76" s="52"/>
      <c r="AX76" s="52"/>
      <c r="AY76" s="52"/>
      <c r="AZ76" s="52"/>
      <c r="BA76" s="52"/>
      <c r="BB76" s="52"/>
      <c r="BC76" s="52"/>
      <c r="BD76" s="52"/>
      <c r="BE76" s="52"/>
      <c r="BF76" s="52"/>
      <c r="BG76" s="52"/>
      <c r="BH76" s="52"/>
      <c r="BI76" s="52"/>
      <c r="BJ76" s="52"/>
      <c r="BK76" s="52"/>
      <c r="BL76" s="52"/>
      <c r="BM76" s="52"/>
      <c r="BN76" s="52"/>
      <c r="BO76" s="52"/>
      <c r="BP76" s="52"/>
      <c r="BQ76" s="52"/>
      <c r="BR76" s="52"/>
      <c r="BS76" s="52"/>
      <c r="BT76" s="52"/>
      <c r="BU76" s="52"/>
      <c r="BV76" s="52"/>
      <c r="BW76" s="52"/>
      <c r="BX76" s="52"/>
      <c r="BY76" s="52"/>
      <c r="BZ76" s="52"/>
      <c r="CA76" s="52"/>
      <c r="CB76" s="52"/>
      <c r="CC76" s="52"/>
      <c r="CD76" s="52"/>
      <c r="CE76" s="52"/>
      <c r="CF76" s="52"/>
      <c r="CG76" s="52"/>
      <c r="CH76" s="52"/>
      <c r="CI76" s="52"/>
      <c r="CJ76" s="52"/>
      <c r="CK76" s="52"/>
      <c r="CL76" s="52"/>
      <c r="CM76" s="52"/>
      <c r="CN76" s="52"/>
      <c r="CO76" s="52"/>
      <c r="CP76" s="52"/>
      <c r="CQ76" s="52"/>
      <c r="CR76" s="52"/>
      <c r="CS76" s="52"/>
      <c r="CT76" s="52"/>
      <c r="CU76" s="52"/>
      <c r="CV76" s="52"/>
      <c r="CW76" s="52"/>
      <c r="CX76" s="52"/>
      <c r="CY76" s="52"/>
      <c r="CZ76" s="52"/>
      <c r="DA76" s="52"/>
      <c r="DB76" s="52"/>
      <c r="DC76" s="52"/>
      <c r="DD76" s="52"/>
      <c r="DE76" s="52"/>
      <c r="DF76" s="52"/>
      <c r="DG76" s="52"/>
      <c r="DH76" s="52"/>
      <c r="DI76" s="52"/>
      <c r="DJ76" s="52"/>
      <c r="DK76" s="52"/>
      <c r="DL76" s="52"/>
      <c r="DM76" s="52"/>
      <c r="DN76" s="52"/>
      <c r="DO76" s="52"/>
      <c r="DP76" s="52"/>
      <c r="DQ76" s="52"/>
      <c r="DR76" s="52"/>
      <c r="DS76" s="52"/>
      <c r="DT76" s="52"/>
      <c r="DU76" s="52"/>
      <c r="DV76" s="52"/>
      <c r="DW76" s="52"/>
      <c r="DX76" s="52"/>
      <c r="DY76" s="52"/>
      <c r="DZ76" s="52"/>
      <c r="EA76" s="52"/>
      <c r="EB76" s="52"/>
      <c r="EC76" s="52"/>
      <c r="ED76" s="52"/>
      <c r="EE76" s="52"/>
      <c r="EF76" s="52"/>
      <c r="EG76" s="52"/>
      <c r="EH76" s="52"/>
      <c r="EI76" s="52"/>
      <c r="EJ76" s="52"/>
      <c r="EK76" s="52"/>
      <c r="EL76" s="52"/>
      <c r="EM76" s="52"/>
      <c r="EN76" s="52"/>
      <c r="EO76" s="52"/>
      <c r="EP76" s="52"/>
      <c r="EQ76" s="52"/>
      <c r="ER76" s="52"/>
      <c r="ES76" s="52"/>
      <c r="ET76" s="52"/>
      <c r="EU76" s="52"/>
      <c r="EV76" s="52"/>
      <c r="EW76" s="52"/>
      <c r="EX76" s="52"/>
      <c r="EY76" s="52"/>
      <c r="EZ76" s="52"/>
      <c r="FA76" s="52"/>
      <c r="FB76" s="52"/>
      <c r="FC76" s="52"/>
      <c r="FD76" s="52"/>
      <c r="FE76" s="52"/>
      <c r="FF76" s="52"/>
      <c r="FG76" s="52"/>
      <c r="FH76" s="52"/>
      <c r="FI76" s="52"/>
      <c r="FJ76" s="52"/>
      <c r="FK76" s="52"/>
      <c r="FL76" s="52"/>
      <c r="FM76" s="52"/>
      <c r="FN76" s="52"/>
      <c r="FO76" s="52"/>
      <c r="FP76" s="52"/>
      <c r="FQ76" s="52"/>
      <c r="FR76" s="52"/>
      <c r="FS76" s="52"/>
      <c r="FT76" s="52"/>
      <c r="FU76" s="52"/>
    </row>
    <row r="77" spans="1:177" ht="11.25" customHeight="1">
      <c r="A77" s="266"/>
      <c r="B77" s="267"/>
      <c r="C77" s="268"/>
      <c r="D77" s="34"/>
      <c r="E77" s="34"/>
      <c r="F77" s="269"/>
      <c r="G77" s="270"/>
      <c r="H77" s="271"/>
      <c r="I77" s="134"/>
      <c r="J77" s="135"/>
      <c r="K77" s="10"/>
      <c r="L77" s="10"/>
      <c r="M77" s="10"/>
      <c r="N77" s="10"/>
      <c r="O77" s="10"/>
      <c r="P77" s="10"/>
      <c r="S77" s="10"/>
      <c r="T77" s="13"/>
      <c r="U77" s="13"/>
      <c r="V77" s="13"/>
      <c r="W77" s="13"/>
      <c r="X77" s="166"/>
      <c r="Y77" s="13"/>
      <c r="Z77" s="13"/>
      <c r="AA77" s="13"/>
      <c r="AB77" s="13"/>
      <c r="AC77" s="13"/>
      <c r="AD77" s="195"/>
      <c r="AE77" s="195"/>
      <c r="AF77" s="195"/>
      <c r="AG77" s="195"/>
      <c r="AH77" s="195"/>
      <c r="AI77" s="195"/>
      <c r="AJ77" s="195"/>
      <c r="AK77" s="195"/>
      <c r="AL77" s="195"/>
      <c r="AM77" s="195"/>
      <c r="AN77" s="195"/>
      <c r="AO77" s="195"/>
      <c r="AP77" s="52"/>
      <c r="AQ77" s="52"/>
      <c r="AR77" s="52"/>
      <c r="AS77" s="52"/>
      <c r="AT77" s="52"/>
      <c r="AU77" s="52"/>
      <c r="AV77" s="52"/>
      <c r="AW77" s="52"/>
      <c r="AX77" s="52"/>
      <c r="AY77" s="52"/>
      <c r="AZ77" s="52"/>
      <c r="BA77" s="52"/>
      <c r="BB77" s="52"/>
      <c r="BC77" s="52"/>
      <c r="BD77" s="52"/>
      <c r="BE77" s="52"/>
      <c r="BF77" s="52"/>
      <c r="BG77" s="52"/>
      <c r="BH77" s="52"/>
      <c r="BI77" s="52"/>
      <c r="BJ77" s="52"/>
      <c r="BK77" s="52"/>
      <c r="BL77" s="52"/>
      <c r="BM77" s="52"/>
      <c r="BN77" s="52"/>
      <c r="BO77" s="52"/>
      <c r="BP77" s="52"/>
      <c r="BQ77" s="52"/>
      <c r="BR77" s="52"/>
      <c r="BS77" s="52"/>
      <c r="BT77" s="52"/>
      <c r="BU77" s="52"/>
      <c r="BV77" s="52"/>
      <c r="BW77" s="52"/>
      <c r="BX77" s="52"/>
      <c r="BY77" s="52"/>
      <c r="BZ77" s="52"/>
      <c r="CA77" s="52"/>
      <c r="CB77" s="52"/>
      <c r="CC77" s="52"/>
      <c r="CD77" s="52"/>
      <c r="CE77" s="52"/>
      <c r="CF77" s="52"/>
      <c r="CG77" s="52"/>
      <c r="CH77" s="52"/>
      <c r="CI77" s="52"/>
      <c r="CJ77" s="52"/>
      <c r="CK77" s="52"/>
      <c r="CL77" s="52"/>
      <c r="CM77" s="52"/>
      <c r="CN77" s="52"/>
      <c r="CO77" s="52"/>
      <c r="CP77" s="52"/>
      <c r="CQ77" s="52"/>
      <c r="CR77" s="52"/>
      <c r="CS77" s="52"/>
      <c r="CT77" s="52"/>
      <c r="CU77" s="52"/>
      <c r="CV77" s="52"/>
      <c r="CW77" s="52"/>
      <c r="CX77" s="52"/>
      <c r="CY77" s="52"/>
      <c r="CZ77" s="52"/>
      <c r="DA77" s="52"/>
      <c r="DB77" s="52"/>
      <c r="DC77" s="52"/>
      <c r="DD77" s="52"/>
      <c r="DE77" s="52"/>
      <c r="DF77" s="52"/>
      <c r="DG77" s="52"/>
      <c r="DH77" s="52"/>
      <c r="DI77" s="52"/>
      <c r="DJ77" s="52"/>
      <c r="DK77" s="52"/>
      <c r="DL77" s="52"/>
      <c r="DM77" s="52"/>
      <c r="DN77" s="52"/>
      <c r="DO77" s="52"/>
      <c r="DP77" s="52"/>
      <c r="DQ77" s="52"/>
      <c r="DR77" s="52"/>
      <c r="DS77" s="52"/>
      <c r="DT77" s="52"/>
      <c r="DU77" s="52"/>
      <c r="DV77" s="52"/>
      <c r="DW77" s="52"/>
      <c r="DX77" s="52"/>
      <c r="DY77" s="52"/>
      <c r="DZ77" s="52"/>
      <c r="EA77" s="52"/>
      <c r="EB77" s="52"/>
      <c r="EC77" s="52"/>
      <c r="ED77" s="52"/>
      <c r="EE77" s="52"/>
      <c r="EF77" s="52"/>
      <c r="EG77" s="52"/>
      <c r="EH77" s="52"/>
      <c r="EI77" s="52"/>
      <c r="EJ77" s="52"/>
      <c r="EK77" s="52"/>
      <c r="EL77" s="52"/>
      <c r="EM77" s="52"/>
      <c r="EN77" s="52"/>
      <c r="EO77" s="52"/>
      <c r="EP77" s="52"/>
      <c r="EQ77" s="52"/>
      <c r="ER77" s="52"/>
      <c r="ES77" s="52"/>
      <c r="ET77" s="52"/>
      <c r="EU77" s="52"/>
      <c r="EV77" s="52"/>
      <c r="EW77" s="52"/>
      <c r="EX77" s="52"/>
      <c r="EY77" s="52"/>
      <c r="EZ77" s="52"/>
      <c r="FA77" s="52"/>
      <c r="FB77" s="52"/>
      <c r="FC77" s="52"/>
      <c r="FD77" s="52"/>
      <c r="FE77" s="52"/>
      <c r="FF77" s="52"/>
      <c r="FG77" s="52"/>
      <c r="FH77" s="52"/>
      <c r="FI77" s="52"/>
      <c r="FJ77" s="52"/>
      <c r="FK77" s="52"/>
      <c r="FL77" s="52"/>
      <c r="FM77" s="52"/>
      <c r="FN77" s="52"/>
      <c r="FO77" s="52"/>
      <c r="FP77" s="52"/>
      <c r="FQ77" s="52"/>
      <c r="FR77" s="52"/>
      <c r="FS77" s="52"/>
      <c r="FT77" s="52"/>
      <c r="FU77" s="52"/>
    </row>
    <row r="78" spans="1:177" ht="11.25" customHeight="1">
      <c r="A78" s="209"/>
      <c r="B78" s="445" t="s">
        <v>583</v>
      </c>
      <c r="C78" s="268"/>
      <c r="D78" s="31"/>
      <c r="E78" s="31"/>
      <c r="F78" s="273"/>
      <c r="G78" s="268"/>
      <c r="H78" s="274"/>
      <c r="I78" s="268"/>
      <c r="J78" s="238"/>
      <c r="K78" s="93" t="s">
        <v>203</v>
      </c>
      <c r="L78" s="158"/>
      <c r="M78" s="158"/>
      <c r="N78" s="158"/>
      <c r="O78" s="158"/>
      <c r="T78" s="10"/>
      <c r="U78" s="277" t="s">
        <v>411</v>
      </c>
      <c r="V78" s="27"/>
      <c r="W78" s="27"/>
      <c r="X78" s="27"/>
      <c r="Y78" s="25"/>
      <c r="Z78" s="278" t="s">
        <v>162</v>
      </c>
      <c r="AA78" s="25" t="s">
        <v>286</v>
      </c>
      <c r="AB78" s="25"/>
      <c r="AC78" s="278"/>
      <c r="AD78" s="10"/>
      <c r="AE78" s="195"/>
      <c r="AF78" s="195"/>
      <c r="AG78" s="195"/>
      <c r="AH78" s="195"/>
      <c r="AI78" s="195"/>
      <c r="AJ78" s="195"/>
      <c r="AK78" s="195"/>
      <c r="AL78" s="195"/>
      <c r="AM78" s="195"/>
      <c r="AN78" s="195"/>
      <c r="AO78" s="195"/>
      <c r="AP78" s="446" t="s">
        <v>728</v>
      </c>
      <c r="AQ78" s="433"/>
      <c r="AR78" s="433"/>
      <c r="AS78" s="433"/>
      <c r="AT78" s="433"/>
      <c r="AU78" s="433"/>
      <c r="AV78" s="433"/>
      <c r="AW78" s="433"/>
      <c r="AX78" s="433"/>
      <c r="AY78" s="433"/>
      <c r="AZ78" s="52"/>
      <c r="BA78" s="52"/>
      <c r="BB78" s="52"/>
      <c r="BC78" s="52"/>
      <c r="BD78" s="52"/>
      <c r="BE78" s="52"/>
      <c r="BF78" s="52"/>
      <c r="BG78" s="52"/>
      <c r="BH78" s="52"/>
      <c r="BI78" s="52"/>
      <c r="BJ78" s="52"/>
      <c r="BK78" s="52"/>
      <c r="BL78" s="52"/>
      <c r="BM78" s="52"/>
      <c r="BN78" s="52"/>
      <c r="BO78" s="52"/>
      <c r="BP78" s="52"/>
      <c r="BQ78" s="52"/>
      <c r="BR78" s="52"/>
      <c r="BS78" s="52"/>
      <c r="BT78" s="52"/>
      <c r="BU78" s="52"/>
      <c r="BV78" s="52"/>
      <c r="BW78" s="52"/>
      <c r="BX78" s="52"/>
      <c r="BY78" s="52"/>
      <c r="BZ78" s="52"/>
      <c r="CA78" s="52"/>
      <c r="CB78" s="52"/>
      <c r="CC78" s="52"/>
      <c r="CD78" s="52"/>
      <c r="CE78" s="52"/>
      <c r="CF78" s="52"/>
      <c r="CG78" s="52"/>
      <c r="CH78" s="52"/>
      <c r="CI78" s="52"/>
      <c r="CJ78" s="52"/>
      <c r="CK78" s="52"/>
      <c r="CL78" s="52"/>
      <c r="CM78" s="52"/>
      <c r="CN78" s="52"/>
      <c r="CO78" s="52"/>
      <c r="CP78" s="52"/>
      <c r="CQ78" s="52"/>
      <c r="CR78" s="52"/>
      <c r="CS78" s="52"/>
      <c r="CT78" s="52"/>
      <c r="CU78" s="52"/>
      <c r="CV78" s="52"/>
      <c r="CW78" s="52"/>
      <c r="CX78" s="52"/>
      <c r="CY78" s="52"/>
      <c r="CZ78" s="52"/>
      <c r="DA78" s="52"/>
      <c r="DB78" s="52"/>
      <c r="DC78" s="52"/>
      <c r="DD78" s="52"/>
      <c r="DE78" s="52"/>
      <c r="DF78" s="52"/>
      <c r="DG78" s="52"/>
      <c r="DH78" s="52"/>
      <c r="DI78" s="52"/>
      <c r="DJ78" s="52"/>
      <c r="DK78" s="52"/>
      <c r="DL78" s="52"/>
      <c r="DM78" s="52"/>
      <c r="DN78" s="52"/>
      <c r="DO78" s="52"/>
      <c r="DP78" s="52"/>
      <c r="DQ78" s="52"/>
      <c r="DR78" s="52"/>
      <c r="DS78" s="52"/>
      <c r="DT78" s="52"/>
      <c r="DU78" s="52"/>
      <c r="DV78" s="52"/>
      <c r="DW78" s="52"/>
      <c r="DX78" s="52"/>
      <c r="DY78" s="52"/>
      <c r="DZ78" s="52"/>
      <c r="EA78" s="52"/>
      <c r="EB78" s="52"/>
      <c r="EC78" s="52"/>
      <c r="ED78" s="52"/>
      <c r="EE78" s="52"/>
      <c r="EF78" s="52"/>
      <c r="EG78" s="52"/>
      <c r="EH78" s="52"/>
      <c r="EI78" s="52"/>
      <c r="EJ78" s="52"/>
      <c r="EK78" s="52"/>
      <c r="EL78" s="52"/>
      <c r="EM78" s="52"/>
      <c r="EN78" s="52"/>
      <c r="EO78" s="52"/>
      <c r="EP78" s="52"/>
      <c r="EQ78" s="52"/>
      <c r="ER78" s="52"/>
      <c r="ES78" s="52"/>
      <c r="ET78" s="52"/>
      <c r="EU78" s="52"/>
      <c r="EV78" s="52"/>
      <c r="EW78" s="52"/>
      <c r="EX78" s="52"/>
      <c r="EY78" s="52"/>
      <c r="EZ78" s="52"/>
      <c r="FA78" s="52"/>
      <c r="FB78" s="52"/>
      <c r="FC78" s="52"/>
      <c r="FD78" s="52"/>
      <c r="FE78" s="52"/>
      <c r="FF78" s="52"/>
      <c r="FG78" s="52"/>
      <c r="FH78" s="52"/>
      <c r="FI78" s="52"/>
      <c r="FJ78" s="52"/>
      <c r="FK78" s="52"/>
      <c r="FL78" s="52"/>
      <c r="FM78" s="52"/>
      <c r="FN78" s="52"/>
      <c r="FO78" s="52"/>
      <c r="FP78" s="52"/>
      <c r="FQ78" s="52"/>
      <c r="FR78" s="52"/>
      <c r="FS78" s="52"/>
      <c r="FT78" s="52"/>
      <c r="FU78" s="52"/>
    </row>
    <row r="79" spans="1:177" ht="11.25" customHeight="1">
      <c r="A79" s="209"/>
      <c r="B79" s="268" t="s">
        <v>352</v>
      </c>
      <c r="C79" s="268"/>
      <c r="D79" s="31"/>
      <c r="E79" s="31"/>
      <c r="F79" s="279" t="s">
        <v>237</v>
      </c>
      <c r="G79" s="268"/>
      <c r="H79" s="736">
        <f>(H29-H21)/1000*M31*N31+O54</f>
        <v>12651.840107999997</v>
      </c>
      <c r="I79" s="268"/>
      <c r="J79" s="238"/>
      <c r="K79" s="93"/>
      <c r="L79" s="158" t="s">
        <v>210</v>
      </c>
      <c r="M79" s="158" t="s">
        <v>208</v>
      </c>
      <c r="N79" s="158" t="s">
        <v>208</v>
      </c>
      <c r="O79" s="158" t="s">
        <v>208</v>
      </c>
      <c r="T79" s="10"/>
      <c r="U79" s="10"/>
      <c r="V79" s="10"/>
      <c r="W79" s="10"/>
      <c r="Y79" s="10"/>
      <c r="Z79" s="10"/>
      <c r="AA79" s="10"/>
      <c r="AB79" s="10"/>
      <c r="AC79" s="10"/>
      <c r="AD79" s="10"/>
      <c r="AE79" s="195"/>
      <c r="AF79" s="195"/>
      <c r="AG79" s="195"/>
      <c r="AH79" s="195"/>
      <c r="AI79" s="195"/>
      <c r="AJ79" s="195"/>
      <c r="AK79" s="195"/>
      <c r="AL79" s="195"/>
      <c r="AM79" s="195"/>
      <c r="AN79" s="195"/>
      <c r="AO79" s="195"/>
      <c r="AP79" s="52"/>
      <c r="AQ79" s="52"/>
      <c r="AR79" s="52"/>
      <c r="AS79" s="52"/>
      <c r="AT79" s="52"/>
      <c r="AU79" s="52"/>
      <c r="AV79" s="52"/>
      <c r="AW79" s="52"/>
      <c r="AX79" s="52"/>
      <c r="AY79" s="52"/>
      <c r="AZ79" s="52"/>
      <c r="BA79" s="52"/>
      <c r="BB79" s="52"/>
      <c r="BC79" s="52"/>
      <c r="BD79" s="52"/>
      <c r="BE79" s="52"/>
      <c r="BF79" s="52"/>
      <c r="BG79" s="52"/>
      <c r="BH79" s="52"/>
      <c r="BI79" s="52"/>
      <c r="BJ79" s="52"/>
      <c r="BK79" s="52"/>
      <c r="BL79" s="52"/>
      <c r="BM79" s="52"/>
      <c r="BN79" s="52"/>
      <c r="BO79" s="52"/>
      <c r="BP79" s="52"/>
      <c r="BQ79" s="52"/>
      <c r="BR79" s="52"/>
      <c r="BS79" s="52"/>
      <c r="BT79" s="52"/>
      <c r="BU79" s="52"/>
      <c r="BV79" s="52"/>
      <c r="BW79" s="52"/>
      <c r="BX79" s="52"/>
      <c r="BY79" s="52"/>
      <c r="BZ79" s="52"/>
      <c r="CA79" s="52"/>
      <c r="CB79" s="52"/>
      <c r="CC79" s="52"/>
      <c r="CD79" s="52"/>
      <c r="CE79" s="52"/>
      <c r="CF79" s="52"/>
      <c r="CG79" s="52"/>
      <c r="CH79" s="52"/>
      <c r="CI79" s="52"/>
      <c r="CJ79" s="52"/>
      <c r="CK79" s="52"/>
      <c r="CL79" s="52"/>
      <c r="CM79" s="52"/>
      <c r="CN79" s="52"/>
      <c r="CO79" s="52"/>
      <c r="CP79" s="52"/>
      <c r="CQ79" s="52"/>
      <c r="CR79" s="52"/>
      <c r="CS79" s="52"/>
      <c r="CT79" s="52"/>
      <c r="CU79" s="52"/>
      <c r="CV79" s="52"/>
      <c r="CW79" s="52"/>
      <c r="CX79" s="52"/>
      <c r="CY79" s="52"/>
      <c r="CZ79" s="52"/>
      <c r="DA79" s="52"/>
      <c r="DB79" s="52"/>
      <c r="DC79" s="52"/>
      <c r="DD79" s="52"/>
      <c r="DE79" s="52"/>
      <c r="DF79" s="52"/>
      <c r="DG79" s="52"/>
      <c r="DH79" s="52"/>
      <c r="DI79" s="52"/>
      <c r="DJ79" s="52"/>
      <c r="DK79" s="52"/>
      <c r="DL79" s="52"/>
      <c r="DM79" s="52"/>
      <c r="DN79" s="52"/>
      <c r="DO79" s="52"/>
      <c r="DP79" s="52"/>
      <c r="DQ79" s="52"/>
      <c r="DR79" s="52"/>
      <c r="DS79" s="52"/>
      <c r="DT79" s="52"/>
      <c r="DU79" s="52"/>
      <c r="DV79" s="52"/>
      <c r="DW79" s="52"/>
      <c r="DX79" s="52"/>
      <c r="DY79" s="52"/>
      <c r="DZ79" s="52"/>
      <c r="EA79" s="52"/>
      <c r="EB79" s="52"/>
      <c r="EC79" s="52"/>
      <c r="ED79" s="52"/>
      <c r="EE79" s="52"/>
      <c r="EF79" s="52"/>
      <c r="EG79" s="52"/>
      <c r="EH79" s="52"/>
      <c r="EI79" s="52"/>
      <c r="EJ79" s="52"/>
      <c r="EK79" s="52"/>
      <c r="EL79" s="52"/>
      <c r="EM79" s="52"/>
      <c r="EN79" s="52"/>
      <c r="EO79" s="52"/>
      <c r="EP79" s="52"/>
      <c r="EQ79" s="52"/>
      <c r="ER79" s="52"/>
      <c r="ES79" s="52"/>
      <c r="ET79" s="52"/>
      <c r="EU79" s="52"/>
      <c r="EV79" s="52"/>
      <c r="EW79" s="52"/>
      <c r="EX79" s="52"/>
      <c r="EY79" s="52"/>
      <c r="EZ79" s="52"/>
      <c r="FA79" s="52"/>
      <c r="FB79" s="52"/>
      <c r="FC79" s="52"/>
      <c r="FD79" s="52"/>
      <c r="FE79" s="52"/>
      <c r="FF79" s="52"/>
      <c r="FG79" s="52"/>
      <c r="FH79" s="52"/>
      <c r="FI79" s="52"/>
      <c r="FJ79" s="52"/>
      <c r="FK79" s="52"/>
      <c r="FL79" s="52"/>
      <c r="FM79" s="52"/>
      <c r="FN79" s="52"/>
      <c r="FO79" s="52"/>
      <c r="FP79" s="52"/>
      <c r="FQ79" s="52"/>
      <c r="FR79" s="52"/>
      <c r="FS79" s="52"/>
      <c r="FT79" s="52"/>
      <c r="FU79" s="52"/>
    </row>
    <row r="80" spans="1:177" ht="11.25" customHeight="1">
      <c r="A80" s="209"/>
      <c r="B80" s="268" t="s">
        <v>342</v>
      </c>
      <c r="C80" s="268"/>
      <c r="D80" s="31"/>
      <c r="E80" s="31"/>
      <c r="F80" s="279" t="s">
        <v>237</v>
      </c>
      <c r="G80" s="268"/>
      <c r="H80" s="737">
        <f>H53/1000*M31*N31</f>
        <v>1258.86456</v>
      </c>
      <c r="I80" s="268"/>
      <c r="J80" s="238"/>
      <c r="K80" s="158"/>
      <c r="L80" s="158" t="s">
        <v>204</v>
      </c>
      <c r="M80" s="158" t="s">
        <v>206</v>
      </c>
      <c r="N80" s="158" t="s">
        <v>205</v>
      </c>
      <c r="O80" s="158" t="s">
        <v>207</v>
      </c>
      <c r="T80" s="10"/>
      <c r="U80" s="166" t="s">
        <v>272</v>
      </c>
      <c r="V80" s="10"/>
      <c r="W80" s="10"/>
      <c r="Y80" s="10"/>
      <c r="Z80" s="10"/>
      <c r="AA80" s="10"/>
      <c r="AB80" s="10"/>
      <c r="AC80" s="10"/>
      <c r="AD80" s="10"/>
      <c r="AE80" s="10"/>
      <c r="AF80" s="10"/>
      <c r="AG80" s="10"/>
      <c r="AH80" s="10"/>
      <c r="AI80" s="10"/>
      <c r="AJ80" s="10"/>
      <c r="AK80" s="10"/>
      <c r="AL80" s="10"/>
      <c r="AM80" s="10"/>
      <c r="AN80" s="10"/>
      <c r="AO80" s="10"/>
      <c r="AP80" s="52" t="s">
        <v>656</v>
      </c>
      <c r="AQ80" s="52"/>
      <c r="AR80" s="52"/>
      <c r="AS80" s="52"/>
      <c r="AT80" s="73"/>
      <c r="AU80" s="73" t="s">
        <v>579</v>
      </c>
      <c r="AV80" s="52"/>
      <c r="AW80" s="52"/>
      <c r="AX80" s="52"/>
      <c r="AY80" s="52"/>
      <c r="AZ80" s="52"/>
      <c r="BA80" s="52"/>
      <c r="BB80" s="52"/>
      <c r="BC80" s="52"/>
      <c r="BD80" s="52"/>
      <c r="BE80" s="52"/>
      <c r="BF80" s="52"/>
      <c r="BG80" s="52"/>
      <c r="BH80" s="52"/>
      <c r="BI80" s="52"/>
      <c r="BJ80" s="52"/>
      <c r="BK80" s="52"/>
      <c r="BL80" s="52"/>
      <c r="BM80" s="52"/>
      <c r="BN80" s="52"/>
      <c r="BO80" s="52"/>
      <c r="BP80" s="52"/>
      <c r="BQ80" s="52"/>
      <c r="BR80" s="52"/>
      <c r="BS80" s="52"/>
      <c r="BT80" s="52"/>
      <c r="BU80" s="52"/>
      <c r="BV80" s="52"/>
      <c r="BW80" s="52"/>
      <c r="BX80" s="52"/>
      <c r="BY80" s="52"/>
      <c r="BZ80" s="52"/>
      <c r="CA80" s="52"/>
      <c r="CB80" s="52"/>
      <c r="CC80" s="52"/>
      <c r="CD80" s="52"/>
      <c r="CE80" s="52"/>
      <c r="CF80" s="52"/>
      <c r="CG80" s="52"/>
      <c r="CH80" s="52"/>
      <c r="CI80" s="52"/>
      <c r="CJ80" s="52"/>
      <c r="CK80" s="52"/>
      <c r="CL80" s="52"/>
      <c r="CM80" s="52"/>
      <c r="CN80" s="52"/>
      <c r="CO80" s="52"/>
      <c r="CP80" s="52"/>
      <c r="CQ80" s="52"/>
      <c r="CR80" s="52"/>
      <c r="CS80" s="52"/>
      <c r="CT80" s="52"/>
      <c r="CU80" s="52"/>
      <c r="CV80" s="52"/>
      <c r="CW80" s="52"/>
      <c r="CX80" s="52"/>
      <c r="CY80" s="52"/>
      <c r="CZ80" s="52"/>
      <c r="DA80" s="52"/>
      <c r="DB80" s="52"/>
      <c r="DC80" s="52"/>
      <c r="DD80" s="52"/>
      <c r="DE80" s="52"/>
      <c r="DF80" s="52"/>
      <c r="DG80" s="52"/>
      <c r="DH80" s="52"/>
      <c r="DI80" s="52"/>
      <c r="DJ80" s="52"/>
      <c r="DK80" s="52"/>
      <c r="DL80" s="52"/>
      <c r="DM80" s="52"/>
      <c r="DN80" s="52"/>
      <c r="DO80" s="52"/>
      <c r="DP80" s="52"/>
      <c r="DQ80" s="52"/>
      <c r="DR80" s="52"/>
      <c r="DS80" s="52"/>
      <c r="DT80" s="52"/>
      <c r="DU80" s="52"/>
      <c r="DV80" s="52"/>
      <c r="DW80" s="52"/>
      <c r="DX80" s="52"/>
      <c r="DY80" s="52"/>
      <c r="DZ80" s="52"/>
      <c r="EA80" s="52"/>
      <c r="EB80" s="52"/>
      <c r="EC80" s="52"/>
      <c r="ED80" s="52"/>
      <c r="EE80" s="52"/>
      <c r="EF80" s="52"/>
      <c r="EG80" s="52"/>
      <c r="EH80" s="52"/>
      <c r="EI80" s="52"/>
      <c r="EJ80" s="52"/>
      <c r="EK80" s="52"/>
      <c r="EL80" s="52"/>
      <c r="EM80" s="52"/>
      <c r="EN80" s="52"/>
      <c r="EO80" s="52"/>
      <c r="EP80" s="52"/>
      <c r="EQ80" s="52"/>
      <c r="ER80" s="52"/>
      <c r="ES80" s="52"/>
      <c r="ET80" s="52"/>
      <c r="EU80" s="52"/>
      <c r="EV80" s="52"/>
      <c r="EW80" s="52"/>
      <c r="EX80" s="52"/>
      <c r="EY80" s="52"/>
      <c r="EZ80" s="52"/>
      <c r="FA80" s="52"/>
      <c r="FB80" s="52"/>
      <c r="FC80" s="52"/>
      <c r="FD80" s="52"/>
      <c r="FE80" s="52"/>
      <c r="FF80" s="52"/>
      <c r="FG80" s="52"/>
      <c r="FH80" s="52"/>
      <c r="FI80" s="52"/>
      <c r="FJ80" s="52"/>
      <c r="FK80" s="52"/>
      <c r="FL80" s="52"/>
      <c r="FM80" s="52"/>
      <c r="FN80" s="52"/>
      <c r="FO80" s="52"/>
      <c r="FP80" s="52"/>
      <c r="FQ80" s="52"/>
      <c r="FR80" s="52"/>
      <c r="FS80" s="52"/>
      <c r="FT80" s="52"/>
      <c r="FU80" s="52"/>
    </row>
    <row r="81" spans="1:177" ht="11.25" customHeight="1">
      <c r="A81" s="209"/>
      <c r="B81" s="268" t="s">
        <v>343</v>
      </c>
      <c r="C81" s="268"/>
      <c r="D81" s="31"/>
      <c r="E81" s="31"/>
      <c r="F81" s="279" t="s">
        <v>237</v>
      </c>
      <c r="G81" s="268"/>
      <c r="H81" s="737">
        <f>H61/1000*M31*N31</f>
        <v>2307.9183599999997</v>
      </c>
      <c r="I81" s="134"/>
      <c r="J81" s="135"/>
      <c r="K81" s="158"/>
      <c r="L81" s="158"/>
      <c r="M81" s="158"/>
      <c r="N81" s="158"/>
      <c r="O81" s="158"/>
      <c r="T81" s="10"/>
      <c r="U81" s="10" t="s">
        <v>271</v>
      </c>
      <c r="V81" s="10"/>
      <c r="W81" s="10"/>
      <c r="X81" s="10"/>
      <c r="Y81" s="98"/>
      <c r="Z81" s="98">
        <f>O31</f>
        <v>16214.683215199995</v>
      </c>
      <c r="AA81" s="98"/>
      <c r="AB81" s="194"/>
      <c r="AC81" s="98"/>
      <c r="AD81" s="10"/>
      <c r="AE81" s="98"/>
      <c r="AF81" s="98"/>
      <c r="AG81" s="98"/>
      <c r="AH81" s="98"/>
      <c r="AI81" s="98"/>
      <c r="AJ81" s="98"/>
      <c r="AK81" s="98"/>
      <c r="AL81" s="98"/>
      <c r="AM81" s="98"/>
      <c r="AN81" s="98"/>
      <c r="AO81" s="98"/>
      <c r="AP81" s="52" t="s">
        <v>725</v>
      </c>
      <c r="AQ81" s="52"/>
      <c r="AR81" s="52"/>
      <c r="AS81" s="52"/>
      <c r="AT81" s="13"/>
      <c r="AU81" s="52"/>
      <c r="AV81" s="52"/>
      <c r="AW81" s="52"/>
      <c r="AX81" s="52"/>
      <c r="AY81" s="52"/>
      <c r="AZ81" s="52"/>
      <c r="BA81" s="52"/>
      <c r="BB81" s="52"/>
      <c r="BC81" s="52"/>
      <c r="BD81" s="52"/>
      <c r="BE81" s="52"/>
      <c r="BF81" s="52"/>
      <c r="BG81" s="52"/>
      <c r="BH81" s="52"/>
      <c r="BI81" s="52"/>
      <c r="BJ81" s="52"/>
      <c r="BK81" s="52"/>
      <c r="BL81" s="52"/>
      <c r="BM81" s="52"/>
      <c r="BN81" s="52"/>
      <c r="BO81" s="52"/>
      <c r="BP81" s="52"/>
      <c r="BQ81" s="52"/>
      <c r="BR81" s="52"/>
      <c r="BS81" s="52"/>
      <c r="BT81" s="52"/>
      <c r="BU81" s="52"/>
      <c r="BV81" s="52"/>
      <c r="BW81" s="52"/>
      <c r="BX81" s="52"/>
      <c r="BY81" s="52"/>
      <c r="BZ81" s="52"/>
      <c r="CA81" s="52"/>
      <c r="CB81" s="52"/>
      <c r="CC81" s="52"/>
      <c r="CD81" s="52"/>
      <c r="CE81" s="52"/>
      <c r="CF81" s="52"/>
      <c r="CG81" s="52"/>
      <c r="CH81" s="52"/>
      <c r="CI81" s="52"/>
      <c r="CJ81" s="52"/>
      <c r="CK81" s="52"/>
      <c r="CL81" s="52"/>
      <c r="CM81" s="52"/>
      <c r="CN81" s="52"/>
      <c r="CO81" s="52"/>
      <c r="CP81" s="52"/>
      <c r="CQ81" s="52"/>
      <c r="CR81" s="52"/>
      <c r="CS81" s="52"/>
      <c r="CT81" s="52"/>
      <c r="CU81" s="52"/>
      <c r="CV81" s="52"/>
      <c r="CW81" s="52"/>
      <c r="CX81" s="52"/>
      <c r="CY81" s="52"/>
      <c r="CZ81" s="52"/>
      <c r="DA81" s="52"/>
      <c r="DB81" s="52"/>
      <c r="DC81" s="52"/>
      <c r="DD81" s="52"/>
      <c r="DE81" s="52"/>
      <c r="DF81" s="52"/>
      <c r="DG81" s="52"/>
      <c r="DH81" s="52"/>
      <c r="DI81" s="52"/>
      <c r="DJ81" s="52"/>
      <c r="DK81" s="52"/>
      <c r="DL81" s="52"/>
      <c r="DM81" s="52"/>
      <c r="DN81" s="52"/>
      <c r="DO81" s="52"/>
      <c r="DP81" s="52"/>
      <c r="DQ81" s="52"/>
      <c r="DR81" s="52"/>
      <c r="DS81" s="52"/>
      <c r="DT81" s="52"/>
      <c r="DU81" s="52"/>
      <c r="DV81" s="52"/>
      <c r="DW81" s="52"/>
      <c r="DX81" s="52"/>
      <c r="DY81" s="52"/>
      <c r="DZ81" s="52"/>
      <c r="EA81" s="52"/>
      <c r="EB81" s="52"/>
      <c r="EC81" s="52"/>
      <c r="ED81" s="52"/>
      <c r="EE81" s="52"/>
      <c r="EF81" s="52"/>
      <c r="EG81" s="52"/>
      <c r="EH81" s="52"/>
      <c r="EI81" s="52"/>
      <c r="EJ81" s="52"/>
      <c r="EK81" s="52"/>
      <c r="EL81" s="52"/>
      <c r="EM81" s="52"/>
      <c r="EN81" s="52"/>
      <c r="EO81" s="52"/>
      <c r="EP81" s="52"/>
      <c r="EQ81" s="52"/>
      <c r="ER81" s="52"/>
      <c r="ES81" s="52"/>
      <c r="ET81" s="52"/>
      <c r="EU81" s="52"/>
      <c r="EV81" s="52"/>
      <c r="EW81" s="52"/>
      <c r="EX81" s="52"/>
      <c r="EY81" s="52"/>
      <c r="EZ81" s="52"/>
      <c r="FA81" s="52"/>
      <c r="FB81" s="52"/>
      <c r="FC81" s="52"/>
      <c r="FD81" s="52"/>
      <c r="FE81" s="52"/>
      <c r="FF81" s="52"/>
      <c r="FG81" s="52"/>
      <c r="FH81" s="52"/>
      <c r="FI81" s="52"/>
      <c r="FJ81" s="52"/>
      <c r="FK81" s="52"/>
      <c r="FL81" s="52"/>
      <c r="FM81" s="52"/>
      <c r="FN81" s="52"/>
      <c r="FO81" s="52"/>
      <c r="FP81" s="52"/>
      <c r="FQ81" s="52"/>
      <c r="FR81" s="52"/>
      <c r="FS81" s="52"/>
      <c r="FT81" s="52"/>
      <c r="FU81" s="52"/>
    </row>
    <row r="82" spans="1:177" ht="11.25" customHeight="1">
      <c r="A82" s="209"/>
      <c r="B82" s="445" t="s">
        <v>344</v>
      </c>
      <c r="C82" s="268"/>
      <c r="D82" s="31"/>
      <c r="E82" s="31"/>
      <c r="F82" s="279" t="s">
        <v>237</v>
      </c>
      <c r="G82" s="268"/>
      <c r="H82" s="738">
        <f>H79+H80+H81</f>
        <v>16218.623027999996</v>
      </c>
      <c r="I82" s="134"/>
      <c r="J82" s="135"/>
      <c r="K82" s="10" t="s">
        <v>179</v>
      </c>
      <c r="L82" s="676">
        <v>5.6</v>
      </c>
      <c r="M82" s="676">
        <v>6.2</v>
      </c>
      <c r="N82" s="676">
        <v>12.4</v>
      </c>
      <c r="O82" s="676">
        <v>6.9</v>
      </c>
      <c r="T82" s="10"/>
      <c r="U82" s="10" t="s">
        <v>274</v>
      </c>
      <c r="V82" s="10"/>
      <c r="W82" s="10"/>
      <c r="X82" s="10"/>
      <c r="Y82" s="98"/>
      <c r="Z82" s="98">
        <f>Q31</f>
        <v>5000.000000000001</v>
      </c>
      <c r="AA82" s="98"/>
      <c r="AB82" s="194"/>
      <c r="AC82" s="98"/>
      <c r="AD82" s="10"/>
      <c r="AE82" s="98"/>
      <c r="AF82" s="98"/>
      <c r="AG82" s="98"/>
      <c r="AH82" s="98"/>
      <c r="AI82" s="98"/>
      <c r="AJ82" s="98"/>
      <c r="AK82" s="98"/>
      <c r="AL82" s="98"/>
      <c r="AM82" s="98"/>
      <c r="AN82" s="98"/>
      <c r="AO82" s="98"/>
      <c r="AP82" s="447" t="s">
        <v>710</v>
      </c>
      <c r="AQ82" s="447" t="s">
        <v>707</v>
      </c>
      <c r="AR82" s="52"/>
      <c r="AS82" s="52"/>
      <c r="AT82" s="13"/>
      <c r="AU82" s="13">
        <f>(H29+H44)*('ET-luvun Laskenta'!D59-'ET-luvun Laskenta'!D66)/1000</f>
        <v>4.146809999999999</v>
      </c>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52"/>
      <c r="BZ82" s="52"/>
      <c r="CA82" s="52"/>
      <c r="CB82" s="52"/>
      <c r="CC82" s="52"/>
      <c r="CD82" s="52"/>
      <c r="CE82" s="52"/>
      <c r="CF82" s="52"/>
      <c r="CG82" s="52"/>
      <c r="CH82" s="52"/>
      <c r="CI82" s="52"/>
      <c r="CJ82" s="52"/>
      <c r="CK82" s="52"/>
      <c r="CL82" s="52"/>
      <c r="CM82" s="52"/>
      <c r="CN82" s="52"/>
      <c r="CO82" s="52"/>
      <c r="CP82" s="52"/>
      <c r="CQ82" s="52"/>
      <c r="CR82" s="52"/>
      <c r="CS82" s="52"/>
      <c r="CT82" s="52"/>
      <c r="CU82" s="52"/>
      <c r="CV82" s="52"/>
      <c r="CW82" s="52"/>
      <c r="CX82" s="52"/>
      <c r="CY82" s="52"/>
      <c r="CZ82" s="52"/>
      <c r="DA82" s="52"/>
      <c r="DB82" s="52"/>
      <c r="DC82" s="52"/>
      <c r="DD82" s="52"/>
      <c r="DE82" s="52"/>
      <c r="DF82" s="52"/>
      <c r="DG82" s="52"/>
      <c r="DH82" s="52"/>
      <c r="DI82" s="52"/>
      <c r="DJ82" s="52"/>
      <c r="DK82" s="52"/>
      <c r="DL82" s="52"/>
      <c r="DM82" s="52"/>
      <c r="DN82" s="52"/>
      <c r="DO82" s="52"/>
      <c r="DP82" s="52"/>
      <c r="DQ82" s="52"/>
      <c r="DR82" s="52"/>
      <c r="DS82" s="52"/>
      <c r="DT82" s="52"/>
      <c r="DU82" s="52"/>
      <c r="DV82" s="52"/>
      <c r="DW82" s="52"/>
      <c r="DX82" s="52"/>
      <c r="DY82" s="52"/>
      <c r="DZ82" s="52"/>
      <c r="EA82" s="52"/>
      <c r="EB82" s="52"/>
      <c r="EC82" s="52"/>
      <c r="ED82" s="52"/>
      <c r="EE82" s="52"/>
      <c r="EF82" s="52"/>
      <c r="EG82" s="52"/>
      <c r="EH82" s="52"/>
      <c r="EI82" s="52"/>
      <c r="EJ82" s="52"/>
      <c r="EK82" s="52"/>
      <c r="EL82" s="52"/>
      <c r="EM82" s="52"/>
      <c r="EN82" s="52"/>
      <c r="EO82" s="52"/>
      <c r="EP82" s="52"/>
      <c r="EQ82" s="52"/>
      <c r="ER82" s="52"/>
      <c r="ES82" s="52"/>
      <c r="ET82" s="52"/>
      <c r="EU82" s="52"/>
      <c r="EV82" s="52"/>
      <c r="EW82" s="52"/>
      <c r="EX82" s="52"/>
      <c r="EY82" s="52"/>
      <c r="EZ82" s="52"/>
      <c r="FA82" s="52"/>
      <c r="FB82" s="52"/>
      <c r="FC82" s="52"/>
      <c r="FD82" s="52"/>
      <c r="FE82" s="52"/>
      <c r="FF82" s="52"/>
      <c r="FG82" s="52"/>
      <c r="FH82" s="52"/>
      <c r="FI82" s="52"/>
      <c r="FJ82" s="52"/>
      <c r="FK82" s="52"/>
      <c r="FL82" s="52"/>
      <c r="FM82" s="52"/>
      <c r="FN82" s="52"/>
      <c r="FO82" s="52"/>
      <c r="FP82" s="52"/>
      <c r="FQ82" s="52"/>
      <c r="FR82" s="52"/>
      <c r="FS82" s="52"/>
      <c r="FT82" s="52"/>
      <c r="FU82" s="52"/>
    </row>
    <row r="83" spans="1:177" ht="11.25" customHeight="1">
      <c r="A83" s="209"/>
      <c r="B83" s="268"/>
      <c r="C83" s="268"/>
      <c r="D83" s="31"/>
      <c r="E83" s="31"/>
      <c r="F83" s="273"/>
      <c r="G83" s="268"/>
      <c r="H83" s="739"/>
      <c r="I83" s="134"/>
      <c r="J83" s="135"/>
      <c r="K83" s="10" t="s">
        <v>180</v>
      </c>
      <c r="L83" s="676">
        <v>18.9</v>
      </c>
      <c r="M83" s="676">
        <v>27.1</v>
      </c>
      <c r="N83" s="676">
        <v>60.1</v>
      </c>
      <c r="O83" s="676">
        <v>29.9</v>
      </c>
      <c r="T83" s="10"/>
      <c r="U83" s="93" t="s">
        <v>275</v>
      </c>
      <c r="V83" s="93"/>
      <c r="W83" s="93"/>
      <c r="X83" s="93"/>
      <c r="Y83" s="100"/>
      <c r="Z83" s="100">
        <f>Z31</f>
        <v>13445.550775610414</v>
      </c>
      <c r="AA83" s="98"/>
      <c r="AB83" s="194"/>
      <c r="AC83" s="98"/>
      <c r="AD83" s="10"/>
      <c r="AE83" s="98"/>
      <c r="AF83" s="98"/>
      <c r="AG83" s="98"/>
      <c r="AH83" s="98"/>
      <c r="AI83" s="98"/>
      <c r="AJ83" s="98"/>
      <c r="AK83" s="98"/>
      <c r="AL83" s="98"/>
      <c r="AM83" s="98"/>
      <c r="AN83" s="98"/>
      <c r="AO83" s="98"/>
      <c r="AP83" s="447" t="s">
        <v>711</v>
      </c>
      <c r="AQ83" s="447" t="s">
        <v>708</v>
      </c>
      <c r="AR83" s="52"/>
      <c r="AS83" s="52"/>
      <c r="AT83" s="13"/>
      <c r="AU83" s="13">
        <f>H53*('ET-luvun Laskenta'!D59-'ET-luvun Laskenta'!D66)/1000</f>
        <v>0.4042</v>
      </c>
      <c r="AV83" s="52"/>
      <c r="AW83" s="52"/>
      <c r="AX83" s="52"/>
      <c r="AY83" s="52"/>
      <c r="AZ83" s="52"/>
      <c r="BA83" s="52"/>
      <c r="BB83" s="52"/>
      <c r="BC83" s="52"/>
      <c r="BD83" s="52"/>
      <c r="BE83" s="52"/>
      <c r="BF83" s="52"/>
      <c r="BG83" s="52"/>
      <c r="BH83" s="52"/>
      <c r="BI83" s="52"/>
      <c r="BJ83" s="52"/>
      <c r="BK83" s="52"/>
      <c r="BL83" s="52"/>
      <c r="BM83" s="52"/>
      <c r="BN83" s="52"/>
      <c r="BO83" s="52"/>
      <c r="BP83" s="52"/>
      <c r="BQ83" s="52"/>
      <c r="BR83" s="52"/>
      <c r="BS83" s="52"/>
      <c r="BT83" s="52"/>
      <c r="BU83" s="52"/>
      <c r="BV83" s="52"/>
      <c r="BW83" s="52"/>
      <c r="BX83" s="52"/>
      <c r="BY83" s="52"/>
      <c r="BZ83" s="52"/>
      <c r="CA83" s="52"/>
      <c r="CB83" s="52"/>
      <c r="CC83" s="52"/>
      <c r="CD83" s="52"/>
      <c r="CE83" s="52"/>
      <c r="CF83" s="52"/>
      <c r="CG83" s="52"/>
      <c r="CH83" s="52"/>
      <c r="CI83" s="52"/>
      <c r="CJ83" s="52"/>
      <c r="CK83" s="52"/>
      <c r="CL83" s="52"/>
      <c r="CM83" s="52"/>
      <c r="CN83" s="52"/>
      <c r="CO83" s="52"/>
      <c r="CP83" s="52"/>
      <c r="CQ83" s="52"/>
      <c r="CR83" s="52"/>
      <c r="CS83" s="52"/>
      <c r="CT83" s="52"/>
      <c r="CU83" s="52"/>
      <c r="CV83" s="52"/>
      <c r="CW83" s="52"/>
      <c r="CX83" s="52"/>
      <c r="CY83" s="52"/>
      <c r="CZ83" s="52"/>
      <c r="DA83" s="52"/>
      <c r="DB83" s="52"/>
      <c r="DC83" s="52"/>
      <c r="DD83" s="52"/>
      <c r="DE83" s="52"/>
      <c r="DF83" s="52"/>
      <c r="DG83" s="52"/>
      <c r="DH83" s="52"/>
      <c r="DI83" s="52"/>
      <c r="DJ83" s="52"/>
      <c r="DK83" s="52"/>
      <c r="DL83" s="52"/>
      <c r="DM83" s="52"/>
      <c r="DN83" s="52"/>
      <c r="DO83" s="52"/>
      <c r="DP83" s="52"/>
      <c r="DQ83" s="52"/>
      <c r="DR83" s="52"/>
      <c r="DS83" s="52"/>
      <c r="DT83" s="52"/>
      <c r="DU83" s="52"/>
      <c r="DV83" s="52"/>
      <c r="DW83" s="52"/>
      <c r="DX83" s="52"/>
      <c r="DY83" s="52"/>
      <c r="DZ83" s="52"/>
      <c r="EA83" s="52"/>
      <c r="EB83" s="52"/>
      <c r="EC83" s="52"/>
      <c r="ED83" s="52"/>
      <c r="EE83" s="52"/>
      <c r="EF83" s="52"/>
      <c r="EG83" s="52"/>
      <c r="EH83" s="52"/>
      <c r="EI83" s="52"/>
      <c r="EJ83" s="52"/>
      <c r="EK83" s="52"/>
      <c r="EL83" s="52"/>
      <c r="EM83" s="52"/>
      <c r="EN83" s="52"/>
      <c r="EO83" s="52"/>
      <c r="EP83" s="52"/>
      <c r="EQ83" s="52"/>
      <c r="ER83" s="52"/>
      <c r="ES83" s="52"/>
      <c r="ET83" s="52"/>
      <c r="EU83" s="52"/>
      <c r="EV83" s="52"/>
      <c r="EW83" s="52"/>
      <c r="EX83" s="52"/>
      <c r="EY83" s="52"/>
      <c r="EZ83" s="52"/>
      <c r="FA83" s="52"/>
      <c r="FB83" s="52"/>
      <c r="FC83" s="52"/>
      <c r="FD83" s="52"/>
      <c r="FE83" s="52"/>
      <c r="FF83" s="52"/>
      <c r="FG83" s="52"/>
      <c r="FH83" s="52"/>
      <c r="FI83" s="52"/>
      <c r="FJ83" s="52"/>
      <c r="FK83" s="52"/>
      <c r="FL83" s="52"/>
      <c r="FM83" s="52"/>
      <c r="FN83" s="52"/>
      <c r="FO83" s="52"/>
      <c r="FP83" s="52"/>
      <c r="FQ83" s="52"/>
      <c r="FR83" s="52"/>
      <c r="FS83" s="52"/>
      <c r="FT83" s="52"/>
      <c r="FU83" s="52"/>
    </row>
    <row r="84" spans="1:177" ht="11.25" customHeight="1">
      <c r="A84" s="209"/>
      <c r="B84" s="127" t="s">
        <v>584</v>
      </c>
      <c r="C84" s="268"/>
      <c r="D84" s="34"/>
      <c r="E84" s="34"/>
      <c r="F84" s="279"/>
      <c r="G84" s="155"/>
      <c r="H84" s="740"/>
      <c r="I84" s="134"/>
      <c r="J84" s="135"/>
      <c r="K84" s="10" t="s">
        <v>181</v>
      </c>
      <c r="L84" s="676">
        <v>34.8</v>
      </c>
      <c r="M84" s="676">
        <v>47.9</v>
      </c>
      <c r="N84" s="676">
        <v>75.3</v>
      </c>
      <c r="O84" s="676">
        <v>51.6</v>
      </c>
      <c r="T84" s="10"/>
      <c r="U84" s="166" t="s">
        <v>355</v>
      </c>
      <c r="V84" s="166"/>
      <c r="W84" s="166"/>
      <c r="X84" s="166"/>
      <c r="Y84" s="136"/>
      <c r="Z84" s="136">
        <f>Z81+Z82-Z83</f>
        <v>7769.132439589581</v>
      </c>
      <c r="AA84" s="98">
        <f>Z84/'ET-luvun Laskenta'!C28</f>
        <v>38.8456621979479</v>
      </c>
      <c r="AB84" s="194"/>
      <c r="AC84" s="98"/>
      <c r="AD84" s="10"/>
      <c r="AE84" s="98"/>
      <c r="AF84" s="98"/>
      <c r="AG84" s="98"/>
      <c r="AH84" s="98"/>
      <c r="AI84" s="98"/>
      <c r="AJ84" s="98"/>
      <c r="AK84" s="98"/>
      <c r="AL84" s="98"/>
      <c r="AM84" s="98"/>
      <c r="AN84" s="98"/>
      <c r="AO84" s="98"/>
      <c r="AP84" s="447" t="s">
        <v>713</v>
      </c>
      <c r="AQ84" s="447" t="s">
        <v>441</v>
      </c>
      <c r="AR84" s="52"/>
      <c r="AS84" s="52"/>
      <c r="AT84" s="13"/>
      <c r="AU84" s="13"/>
      <c r="AV84" s="52"/>
      <c r="AW84" s="52"/>
      <c r="AX84" s="52"/>
      <c r="AY84" s="52"/>
      <c r="AZ84" s="52"/>
      <c r="BA84" s="52"/>
      <c r="BB84" s="52"/>
      <c r="BC84" s="52"/>
      <c r="BD84" s="52"/>
      <c r="BE84" s="52"/>
      <c r="BF84" s="52"/>
      <c r="BG84" s="52"/>
      <c r="BH84" s="52"/>
      <c r="BI84" s="52"/>
      <c r="BJ84" s="52"/>
      <c r="BK84" s="52"/>
      <c r="BL84" s="52"/>
      <c r="BM84" s="52"/>
      <c r="BN84" s="52"/>
      <c r="BO84" s="52"/>
      <c r="BP84" s="52"/>
      <c r="BQ84" s="52"/>
      <c r="BR84" s="52"/>
      <c r="BS84" s="52"/>
      <c r="BT84" s="52"/>
      <c r="BU84" s="52"/>
      <c r="BV84" s="52"/>
      <c r="BW84" s="52"/>
      <c r="BX84" s="52"/>
      <c r="BY84" s="52"/>
      <c r="BZ84" s="52"/>
      <c r="CA84" s="52"/>
      <c r="CB84" s="52"/>
      <c r="CC84" s="52"/>
      <c r="CD84" s="52"/>
      <c r="CE84" s="52"/>
      <c r="CF84" s="52"/>
      <c r="CG84" s="52"/>
      <c r="CH84" s="52"/>
      <c r="CI84" s="52"/>
      <c r="CJ84" s="52"/>
      <c r="CK84" s="52"/>
      <c r="CL84" s="52"/>
      <c r="CM84" s="52"/>
      <c r="CN84" s="52"/>
      <c r="CO84" s="52"/>
      <c r="CP84" s="52"/>
      <c r="CQ84" s="52"/>
      <c r="CR84" s="52"/>
      <c r="CS84" s="52"/>
      <c r="CT84" s="52"/>
      <c r="CU84" s="52"/>
      <c r="CV84" s="52"/>
      <c r="CW84" s="52"/>
      <c r="CX84" s="52"/>
      <c r="CY84" s="52"/>
      <c r="CZ84" s="52"/>
      <c r="DA84" s="52"/>
      <c r="DB84" s="52"/>
      <c r="DC84" s="52"/>
      <c r="DD84" s="52"/>
      <c r="DE84" s="52"/>
      <c r="DF84" s="52"/>
      <c r="DG84" s="52"/>
      <c r="DH84" s="52"/>
      <c r="DI84" s="52"/>
      <c r="DJ84" s="52"/>
      <c r="DK84" s="52"/>
      <c r="DL84" s="52"/>
      <c r="DM84" s="52"/>
      <c r="DN84" s="52"/>
      <c r="DO84" s="52"/>
      <c r="DP84" s="52"/>
      <c r="DQ84" s="52"/>
      <c r="DR84" s="52"/>
      <c r="DS84" s="52"/>
      <c r="DT84" s="52"/>
      <c r="DU84" s="52"/>
      <c r="DV84" s="52"/>
      <c r="DW84" s="52"/>
      <c r="DX84" s="52"/>
      <c r="DY84" s="52"/>
      <c r="DZ84" s="52"/>
      <c r="EA84" s="52"/>
      <c r="EB84" s="52"/>
      <c r="EC84" s="52"/>
      <c r="ED84" s="52"/>
      <c r="EE84" s="52"/>
      <c r="EF84" s="52"/>
      <c r="EG84" s="52"/>
      <c r="EH84" s="52"/>
      <c r="EI84" s="52"/>
      <c r="EJ84" s="52"/>
      <c r="EK84" s="52"/>
      <c r="EL84" s="52"/>
      <c r="EM84" s="52"/>
      <c r="EN84" s="52"/>
      <c r="EO84" s="52"/>
      <c r="EP84" s="52"/>
      <c r="EQ84" s="52"/>
      <c r="ER84" s="52"/>
      <c r="ES84" s="52"/>
      <c r="ET84" s="52"/>
      <c r="EU84" s="52"/>
      <c r="EV84" s="52"/>
      <c r="EW84" s="52"/>
      <c r="EX84" s="52"/>
      <c r="EY84" s="52"/>
      <c r="EZ84" s="52"/>
      <c r="FA84" s="52"/>
      <c r="FB84" s="52"/>
      <c r="FC84" s="52"/>
      <c r="FD84" s="52"/>
      <c r="FE84" s="52"/>
      <c r="FF84" s="52"/>
      <c r="FG84" s="52"/>
      <c r="FH84" s="52"/>
      <c r="FI84" s="52"/>
      <c r="FJ84" s="52"/>
      <c r="FK84" s="52"/>
      <c r="FL84" s="52"/>
      <c r="FM84" s="52"/>
      <c r="FN84" s="52"/>
      <c r="FO84" s="52"/>
      <c r="FP84" s="52"/>
      <c r="FQ84" s="52"/>
      <c r="FR84" s="52"/>
      <c r="FS84" s="52"/>
      <c r="FT84" s="52"/>
      <c r="FU84" s="52"/>
    </row>
    <row r="85" spans="1:177" ht="11.25" customHeight="1">
      <c r="A85" s="209"/>
      <c r="B85" s="267" t="s">
        <v>162</v>
      </c>
      <c r="C85" s="85" t="s">
        <v>232</v>
      </c>
      <c r="D85" s="35" t="s">
        <v>314</v>
      </c>
      <c r="E85" s="35"/>
      <c r="F85" s="279" t="s">
        <v>177</v>
      </c>
      <c r="G85" s="270"/>
      <c r="H85" s="741">
        <f>0.05*'ET-luvun Laskenta'!D62*58.33*365</f>
        <v>3193.5675000000006</v>
      </c>
      <c r="I85" s="134"/>
      <c r="J85" s="135"/>
      <c r="K85" s="10" t="s">
        <v>182</v>
      </c>
      <c r="L85" s="676">
        <v>32.4</v>
      </c>
      <c r="M85" s="676">
        <v>65.6</v>
      </c>
      <c r="N85" s="676">
        <v>90.1</v>
      </c>
      <c r="O85" s="676">
        <v>66.7</v>
      </c>
      <c r="T85" s="10"/>
      <c r="U85" s="10"/>
      <c r="V85" s="10"/>
      <c r="W85" s="10"/>
      <c r="X85" s="10"/>
      <c r="Y85" s="98"/>
      <c r="Z85" s="98"/>
      <c r="AA85" s="98"/>
      <c r="AB85" s="194"/>
      <c r="AC85" s="98"/>
      <c r="AD85" s="10"/>
      <c r="AE85" s="98"/>
      <c r="AF85" s="98"/>
      <c r="AG85" s="98"/>
      <c r="AH85" s="98"/>
      <c r="AI85" s="98"/>
      <c r="AJ85" s="98"/>
      <c r="AK85" s="98"/>
      <c r="AL85" s="98"/>
      <c r="AM85" s="98"/>
      <c r="AN85" s="98"/>
      <c r="AO85" s="98"/>
      <c r="AP85" s="52"/>
      <c r="AQ85" s="31" t="s">
        <v>719</v>
      </c>
      <c r="AR85" s="447" t="s">
        <v>717</v>
      </c>
      <c r="AS85" s="447"/>
      <c r="AT85" s="226">
        <f>('ET-luvun Laskenta'!D59-'ET-luvun Laskenta'!D94)/('ET-luvun Laskenta'!D59-'ET-luvun Laskenta'!D66)</f>
        <v>0.6595744680851063</v>
      </c>
      <c r="AU85" s="13"/>
      <c r="AV85" s="52"/>
      <c r="AW85" s="52"/>
      <c r="AX85" s="52"/>
      <c r="AY85" s="52"/>
      <c r="AZ85" s="52"/>
      <c r="BA85" s="52"/>
      <c r="BB85" s="52"/>
      <c r="BC85" s="52"/>
      <c r="BD85" s="52"/>
      <c r="BE85" s="52"/>
      <c r="BF85" s="52"/>
      <c r="BG85" s="52"/>
      <c r="BH85" s="52"/>
      <c r="BI85" s="52"/>
      <c r="BJ85" s="52"/>
      <c r="BK85" s="52"/>
      <c r="BL85" s="52"/>
      <c r="BM85" s="52"/>
      <c r="BN85" s="52"/>
      <c r="BO85" s="52"/>
      <c r="BP85" s="52"/>
      <c r="BQ85" s="52"/>
      <c r="BR85" s="52"/>
      <c r="BS85" s="52"/>
      <c r="BT85" s="52"/>
      <c r="BU85" s="52"/>
      <c r="BV85" s="52"/>
      <c r="BW85" s="52"/>
      <c r="BX85" s="52"/>
      <c r="BY85" s="52"/>
      <c r="BZ85" s="52"/>
      <c r="CA85" s="52"/>
      <c r="CB85" s="52"/>
      <c r="CC85" s="52"/>
      <c r="CD85" s="52"/>
      <c r="CE85" s="52"/>
      <c r="CF85" s="52"/>
      <c r="CG85" s="52"/>
      <c r="CH85" s="52"/>
      <c r="CI85" s="52"/>
      <c r="CJ85" s="52"/>
      <c r="CK85" s="52"/>
      <c r="CL85" s="52"/>
      <c r="CM85" s="52"/>
      <c r="CN85" s="52"/>
      <c r="CO85" s="52"/>
      <c r="CP85" s="52"/>
      <c r="CQ85" s="52"/>
      <c r="CR85" s="52"/>
      <c r="CS85" s="52"/>
      <c r="CT85" s="52"/>
      <c r="CU85" s="52"/>
      <c r="CV85" s="52"/>
      <c r="CW85" s="52"/>
      <c r="CX85" s="52"/>
      <c r="CY85" s="52"/>
      <c r="CZ85" s="52"/>
      <c r="DA85" s="52"/>
      <c r="DB85" s="52"/>
      <c r="DC85" s="52"/>
      <c r="DD85" s="52"/>
      <c r="DE85" s="52"/>
      <c r="DF85" s="52"/>
      <c r="DG85" s="52"/>
      <c r="DH85" s="52"/>
      <c r="DI85" s="52"/>
      <c r="DJ85" s="52"/>
      <c r="DK85" s="52"/>
      <c r="DL85" s="52"/>
      <c r="DM85" s="52"/>
      <c r="DN85" s="52"/>
      <c r="DO85" s="52"/>
      <c r="DP85" s="52"/>
      <c r="DQ85" s="52"/>
      <c r="DR85" s="52"/>
      <c r="DS85" s="52"/>
      <c r="DT85" s="52"/>
      <c r="DU85" s="52"/>
      <c r="DV85" s="52"/>
      <c r="DW85" s="52"/>
      <c r="DX85" s="52"/>
      <c r="DY85" s="52"/>
      <c r="DZ85" s="52"/>
      <c r="EA85" s="52"/>
      <c r="EB85" s="52"/>
      <c r="EC85" s="52"/>
      <c r="ED85" s="52"/>
      <c r="EE85" s="52"/>
      <c r="EF85" s="52"/>
      <c r="EG85" s="52"/>
      <c r="EH85" s="52"/>
      <c r="EI85" s="52"/>
      <c r="EJ85" s="52"/>
      <c r="EK85" s="52"/>
      <c r="EL85" s="52"/>
      <c r="EM85" s="52"/>
      <c r="EN85" s="52"/>
      <c r="EO85" s="52"/>
      <c r="EP85" s="52"/>
      <c r="EQ85" s="52"/>
      <c r="ER85" s="52"/>
      <c r="ES85" s="52"/>
      <c r="ET85" s="52"/>
      <c r="EU85" s="52"/>
      <c r="EV85" s="52"/>
      <c r="EW85" s="52"/>
      <c r="EX85" s="52"/>
      <c r="EY85" s="52"/>
      <c r="EZ85" s="52"/>
      <c r="FA85" s="52"/>
      <c r="FB85" s="52"/>
      <c r="FC85" s="52"/>
      <c r="FD85" s="52"/>
      <c r="FE85" s="52"/>
      <c r="FF85" s="52"/>
      <c r="FG85" s="52"/>
      <c r="FH85" s="52"/>
      <c r="FI85" s="52"/>
      <c r="FJ85" s="52"/>
      <c r="FK85" s="52"/>
      <c r="FL85" s="52"/>
      <c r="FM85" s="52"/>
      <c r="FN85" s="52"/>
      <c r="FO85" s="52"/>
      <c r="FP85" s="52"/>
      <c r="FQ85" s="52"/>
      <c r="FR85" s="52"/>
      <c r="FS85" s="52"/>
      <c r="FT85" s="52"/>
      <c r="FU85" s="52"/>
    </row>
    <row r="86" spans="1:177" ht="11.25" customHeight="1">
      <c r="A86" s="209"/>
      <c r="B86" s="268"/>
      <c r="C86" s="268"/>
      <c r="D86" s="35"/>
      <c r="E86" s="35"/>
      <c r="F86" s="279"/>
      <c r="G86" s="270"/>
      <c r="H86" s="736"/>
      <c r="I86" s="134"/>
      <c r="J86" s="135"/>
      <c r="K86" s="10" t="s">
        <v>183</v>
      </c>
      <c r="L86" s="676">
        <v>57.2</v>
      </c>
      <c r="M86" s="676">
        <v>91</v>
      </c>
      <c r="N86" s="676">
        <v>110.7</v>
      </c>
      <c r="O86" s="676">
        <v>108.9</v>
      </c>
      <c r="T86" s="10"/>
      <c r="U86" s="166" t="s">
        <v>276</v>
      </c>
      <c r="V86" s="10"/>
      <c r="W86" s="10"/>
      <c r="Y86" s="98"/>
      <c r="Z86" s="98"/>
      <c r="AA86" s="98"/>
      <c r="AB86" s="194"/>
      <c r="AC86" s="98"/>
      <c r="AD86" s="10"/>
      <c r="AE86" s="98"/>
      <c r="AF86" s="98"/>
      <c r="AG86" s="98"/>
      <c r="AH86" s="98"/>
      <c r="AI86" s="98"/>
      <c r="AJ86" s="98"/>
      <c r="AK86" s="98"/>
      <c r="AL86" s="98"/>
      <c r="AM86" s="98"/>
      <c r="AN86" s="98"/>
      <c r="AO86" s="98"/>
      <c r="AP86" s="52"/>
      <c r="AQ86" s="31" t="s">
        <v>720</v>
      </c>
      <c r="AR86" s="447" t="s">
        <v>718</v>
      </c>
      <c r="AS86" s="447"/>
      <c r="AT86" s="13">
        <f>1.2*D58*(1-AT85)</f>
        <v>24.397163120567377</v>
      </c>
      <c r="AU86" s="13"/>
      <c r="AV86" s="52"/>
      <c r="AW86" s="52"/>
      <c r="AX86" s="52"/>
      <c r="AY86" s="52"/>
      <c r="AZ86" s="52"/>
      <c r="BA86" s="52"/>
      <c r="BB86" s="52"/>
      <c r="BC86" s="52"/>
      <c r="BD86" s="52"/>
      <c r="BE86" s="52"/>
      <c r="BF86" s="52"/>
      <c r="BG86" s="52"/>
      <c r="BH86" s="52"/>
      <c r="BI86" s="52"/>
      <c r="BJ86" s="52"/>
      <c r="BK86" s="52"/>
      <c r="BL86" s="52"/>
      <c r="BM86" s="52"/>
      <c r="BN86" s="52"/>
      <c r="BO86" s="52"/>
      <c r="BP86" s="52"/>
      <c r="BQ86" s="52"/>
      <c r="BR86" s="52"/>
      <c r="BS86" s="52"/>
      <c r="BT86" s="52"/>
      <c r="BU86" s="52"/>
      <c r="BV86" s="52"/>
      <c r="BW86" s="52"/>
      <c r="BX86" s="52"/>
      <c r="BY86" s="52"/>
      <c r="BZ86" s="52"/>
      <c r="CA86" s="52"/>
      <c r="CB86" s="52"/>
      <c r="CC86" s="52"/>
      <c r="CD86" s="52"/>
      <c r="CE86" s="52"/>
      <c r="CF86" s="52"/>
      <c r="CG86" s="52"/>
      <c r="CH86" s="52"/>
      <c r="CI86" s="52"/>
      <c r="CJ86" s="52"/>
      <c r="CK86" s="52"/>
      <c r="CL86" s="52"/>
      <c r="CM86" s="52"/>
      <c r="CN86" s="52"/>
      <c r="CO86" s="52"/>
      <c r="CP86" s="52"/>
      <c r="CQ86" s="52"/>
      <c r="CR86" s="52"/>
      <c r="CS86" s="52"/>
      <c r="CT86" s="52"/>
      <c r="CU86" s="52"/>
      <c r="CV86" s="52"/>
      <c r="CW86" s="52"/>
      <c r="CX86" s="52"/>
      <c r="CY86" s="52"/>
      <c r="CZ86" s="52"/>
      <c r="DA86" s="52"/>
      <c r="DB86" s="52"/>
      <c r="DC86" s="52"/>
      <c r="DD86" s="52"/>
      <c r="DE86" s="52"/>
      <c r="DF86" s="52"/>
      <c r="DG86" s="52"/>
      <c r="DH86" s="52"/>
      <c r="DI86" s="52"/>
      <c r="DJ86" s="52"/>
      <c r="DK86" s="52"/>
      <c r="DL86" s="52"/>
      <c r="DM86" s="52"/>
      <c r="DN86" s="52"/>
      <c r="DO86" s="52"/>
      <c r="DP86" s="52"/>
      <c r="DQ86" s="52"/>
      <c r="DR86" s="52"/>
      <c r="DS86" s="52"/>
      <c r="DT86" s="52"/>
      <c r="DU86" s="52"/>
      <c r="DV86" s="52"/>
      <c r="DW86" s="52"/>
      <c r="DX86" s="52"/>
      <c r="DY86" s="52"/>
      <c r="DZ86" s="52"/>
      <c r="EA86" s="52"/>
      <c r="EB86" s="52"/>
      <c r="EC86" s="52"/>
      <c r="ED86" s="52"/>
      <c r="EE86" s="52"/>
      <c r="EF86" s="52"/>
      <c r="EG86" s="52"/>
      <c r="EH86" s="52"/>
      <c r="EI86" s="52"/>
      <c r="EJ86" s="52"/>
      <c r="EK86" s="52"/>
      <c r="EL86" s="52"/>
      <c r="EM86" s="52"/>
      <c r="EN86" s="52"/>
      <c r="EO86" s="52"/>
      <c r="EP86" s="52"/>
      <c r="EQ86" s="52"/>
      <c r="ER86" s="52"/>
      <c r="ES86" s="52"/>
      <c r="ET86" s="52"/>
      <c r="EU86" s="52"/>
      <c r="EV86" s="52"/>
      <c r="EW86" s="52"/>
      <c r="EX86" s="52"/>
      <c r="EY86" s="52"/>
      <c r="EZ86" s="52"/>
      <c r="FA86" s="52"/>
      <c r="FB86" s="52"/>
      <c r="FC86" s="52"/>
      <c r="FD86" s="52"/>
      <c r="FE86" s="52"/>
      <c r="FF86" s="52"/>
      <c r="FG86" s="52"/>
      <c r="FH86" s="52"/>
      <c r="FI86" s="52"/>
      <c r="FJ86" s="52"/>
      <c r="FK86" s="52"/>
      <c r="FL86" s="52"/>
      <c r="FM86" s="52"/>
      <c r="FN86" s="52"/>
      <c r="FO86" s="52"/>
      <c r="FP86" s="52"/>
      <c r="FQ86" s="52"/>
      <c r="FR86" s="52"/>
      <c r="FS86" s="52"/>
      <c r="FT86" s="52"/>
      <c r="FU86" s="52"/>
    </row>
    <row r="87" spans="1:177" ht="11.25" customHeight="1">
      <c r="A87" s="209"/>
      <c r="B87" s="283" t="s">
        <v>585</v>
      </c>
      <c r="C87" s="448"/>
      <c r="D87" s="35"/>
      <c r="E87" s="35"/>
      <c r="F87" s="279"/>
      <c r="G87" s="270"/>
      <c r="H87" s="736"/>
      <c r="I87" s="134"/>
      <c r="J87" s="135"/>
      <c r="K87" s="10" t="s">
        <v>184</v>
      </c>
      <c r="L87" s="676">
        <v>66.5</v>
      </c>
      <c r="M87" s="676">
        <v>109.8</v>
      </c>
      <c r="N87" s="676">
        <v>117.8</v>
      </c>
      <c r="O87" s="676">
        <v>124.1</v>
      </c>
      <c r="T87" s="10"/>
      <c r="U87" s="13" t="s">
        <v>277</v>
      </c>
      <c r="V87" s="13"/>
      <c r="W87" s="13"/>
      <c r="X87" s="13"/>
      <c r="Y87" s="98"/>
      <c r="Z87" s="98">
        <f>P31</f>
        <v>3193.5675000000006</v>
      </c>
      <c r="AA87" s="98"/>
      <c r="AB87" s="194"/>
      <c r="AC87" s="98"/>
      <c r="AD87" s="10"/>
      <c r="AE87" s="98"/>
      <c r="AF87" s="98"/>
      <c r="AG87" s="98"/>
      <c r="AH87" s="98"/>
      <c r="AI87" s="98"/>
      <c r="AJ87" s="98"/>
      <c r="AK87" s="98"/>
      <c r="AL87" s="98"/>
      <c r="AM87" s="98"/>
      <c r="AN87" s="98"/>
      <c r="AO87" s="98"/>
      <c r="AP87" s="52"/>
      <c r="AQ87" s="447" t="s">
        <v>713</v>
      </c>
      <c r="AR87" s="447" t="s">
        <v>721</v>
      </c>
      <c r="AS87" s="447"/>
      <c r="AU87" s="13">
        <f>AT86*('ET-luvun Laskenta'!D59-'ET-luvun Laskenta'!D66)/1000</f>
        <v>1.1466666666666667</v>
      </c>
      <c r="AV87" s="52"/>
      <c r="AW87" s="52"/>
      <c r="AX87" s="52"/>
      <c r="AY87" s="52"/>
      <c r="AZ87" s="52"/>
      <c r="BA87" s="52"/>
      <c r="BB87" s="52"/>
      <c r="BC87" s="52"/>
      <c r="BD87" s="52"/>
      <c r="BE87" s="52"/>
      <c r="BF87" s="52"/>
      <c r="BG87" s="52"/>
      <c r="BH87" s="52"/>
      <c r="BI87" s="52"/>
      <c r="BJ87" s="52"/>
      <c r="BK87" s="52"/>
      <c r="BL87" s="52"/>
      <c r="BM87" s="52"/>
      <c r="BN87" s="52"/>
      <c r="BO87" s="52"/>
      <c r="BP87" s="52"/>
      <c r="BQ87" s="52"/>
      <c r="BR87" s="52"/>
      <c r="BS87" s="52"/>
      <c r="BT87" s="52"/>
      <c r="BU87" s="52"/>
      <c r="BV87" s="52"/>
      <c r="BW87" s="52"/>
      <c r="BX87" s="52"/>
      <c r="BY87" s="52"/>
      <c r="BZ87" s="52"/>
      <c r="CA87" s="52"/>
      <c r="CB87" s="52"/>
      <c r="CC87" s="52"/>
      <c r="CD87" s="52"/>
      <c r="CE87" s="52"/>
      <c r="CF87" s="52"/>
      <c r="CG87" s="52"/>
      <c r="CH87" s="52"/>
      <c r="CI87" s="52"/>
      <c r="CJ87" s="52"/>
      <c r="CK87" s="52"/>
      <c r="CL87" s="52"/>
      <c r="CM87" s="52"/>
      <c r="CN87" s="52"/>
      <c r="CO87" s="52"/>
      <c r="CP87" s="52"/>
      <c r="CQ87" s="52"/>
      <c r="CR87" s="52"/>
      <c r="CS87" s="52"/>
      <c r="CT87" s="52"/>
      <c r="CU87" s="52"/>
      <c r="CV87" s="52"/>
      <c r="CW87" s="52"/>
      <c r="CX87" s="52"/>
      <c r="CY87" s="52"/>
      <c r="CZ87" s="52"/>
      <c r="DA87" s="52"/>
      <c r="DB87" s="52"/>
      <c r="DC87" s="52"/>
      <c r="DD87" s="52"/>
      <c r="DE87" s="52"/>
      <c r="DF87" s="52"/>
      <c r="DG87" s="52"/>
      <c r="DH87" s="52"/>
      <c r="DI87" s="52"/>
      <c r="DJ87" s="52"/>
      <c r="DK87" s="52"/>
      <c r="DL87" s="52"/>
      <c r="DM87" s="52"/>
      <c r="DN87" s="52"/>
      <c r="DO87" s="52"/>
      <c r="DP87" s="52"/>
      <c r="DQ87" s="52"/>
      <c r="DR87" s="52"/>
      <c r="DS87" s="52"/>
      <c r="DT87" s="52"/>
      <c r="DU87" s="52"/>
      <c r="DV87" s="52"/>
      <c r="DW87" s="52"/>
      <c r="DX87" s="52"/>
      <c r="DY87" s="52"/>
      <c r="DZ87" s="52"/>
      <c r="EA87" s="52"/>
      <c r="EB87" s="52"/>
      <c r="EC87" s="52"/>
      <c r="ED87" s="52"/>
      <c r="EE87" s="52"/>
      <c r="EF87" s="52"/>
      <c r="EG87" s="52"/>
      <c r="EH87" s="52"/>
      <c r="EI87" s="52"/>
      <c r="EJ87" s="52"/>
      <c r="EK87" s="52"/>
      <c r="EL87" s="52"/>
      <c r="EM87" s="52"/>
      <c r="EN87" s="52"/>
      <c r="EO87" s="52"/>
      <c r="EP87" s="52"/>
      <c r="EQ87" s="52"/>
      <c r="ER87" s="52"/>
      <c r="ES87" s="52"/>
      <c r="ET87" s="52"/>
      <c r="EU87" s="52"/>
      <c r="EV87" s="52"/>
      <c r="EW87" s="52"/>
      <c r="EX87" s="52"/>
      <c r="EY87" s="52"/>
      <c r="EZ87" s="52"/>
      <c r="FA87" s="52"/>
      <c r="FB87" s="52"/>
      <c r="FC87" s="52"/>
      <c r="FD87" s="52"/>
      <c r="FE87" s="52"/>
      <c r="FF87" s="52"/>
      <c r="FG87" s="52"/>
      <c r="FH87" s="52"/>
      <c r="FI87" s="52"/>
      <c r="FJ87" s="52"/>
      <c r="FK87" s="52"/>
      <c r="FL87" s="52"/>
      <c r="FM87" s="52"/>
      <c r="FN87" s="52"/>
      <c r="FO87" s="52"/>
      <c r="FP87" s="52"/>
      <c r="FQ87" s="52"/>
      <c r="FR87" s="52"/>
      <c r="FS87" s="52"/>
      <c r="FT87" s="52"/>
      <c r="FU87" s="52"/>
    </row>
    <row r="88" spans="1:177" ht="11.25" customHeight="1">
      <c r="A88" s="209"/>
      <c r="B88" s="268" t="s">
        <v>317</v>
      </c>
      <c r="C88" s="282" t="s">
        <v>697</v>
      </c>
      <c r="D88" s="10" t="s">
        <v>696</v>
      </c>
      <c r="E88" s="10"/>
      <c r="F88" s="279" t="s">
        <v>178</v>
      </c>
      <c r="G88" s="268"/>
      <c r="H88" s="737">
        <f>'ET-luvun Laskenta'!L88</f>
        <v>2000</v>
      </c>
      <c r="I88" s="134"/>
      <c r="J88" s="135"/>
      <c r="K88" s="10" t="s">
        <v>185</v>
      </c>
      <c r="L88" s="676">
        <v>54.3</v>
      </c>
      <c r="M88" s="676">
        <v>76.1</v>
      </c>
      <c r="N88" s="676">
        <v>81.8</v>
      </c>
      <c r="O88" s="676">
        <v>82.8</v>
      </c>
      <c r="T88" s="10"/>
      <c r="U88" s="10" t="s">
        <v>274</v>
      </c>
      <c r="V88" s="13"/>
      <c r="W88" s="13"/>
      <c r="X88" s="10"/>
      <c r="Y88" s="97"/>
      <c r="Z88" s="98">
        <f>R31</f>
        <v>2999.9999999999995</v>
      </c>
      <c r="AA88" s="98"/>
      <c r="AB88" s="194"/>
      <c r="AC88" s="98"/>
      <c r="AD88" s="10"/>
      <c r="AE88" s="98"/>
      <c r="AF88" s="98"/>
      <c r="AG88" s="98"/>
      <c r="AH88" s="98"/>
      <c r="AI88" s="98"/>
      <c r="AJ88" s="98"/>
      <c r="AK88" s="98"/>
      <c r="AL88" s="98"/>
      <c r="AM88" s="98"/>
      <c r="AN88" s="98"/>
      <c r="AO88" s="98"/>
      <c r="AP88" s="52"/>
      <c r="AQ88" s="447" t="s">
        <v>722</v>
      </c>
      <c r="AR88" s="447" t="s">
        <v>723</v>
      </c>
      <c r="AS88" s="447"/>
      <c r="AT88" s="13">
        <f>AT85/'ET-luvun Laskenta'!D92*100</f>
        <v>0.6942889137737962</v>
      </c>
      <c r="AU88" s="13"/>
      <c r="AV88" s="52"/>
      <c r="AW88" s="52"/>
      <c r="AX88" s="52"/>
      <c r="AY88" s="52"/>
      <c r="AZ88" s="52"/>
      <c r="BA88" s="52"/>
      <c r="BB88" s="52"/>
      <c r="BC88" s="52"/>
      <c r="BD88" s="52"/>
      <c r="BE88" s="52"/>
      <c r="BF88" s="52"/>
      <c r="BG88" s="52"/>
      <c r="BH88" s="52"/>
      <c r="BI88" s="52"/>
      <c r="BJ88" s="52"/>
      <c r="BK88" s="52"/>
      <c r="BL88" s="52"/>
      <c r="BM88" s="52"/>
      <c r="BN88" s="52"/>
      <c r="BO88" s="52"/>
      <c r="BP88" s="52"/>
      <c r="BQ88" s="52"/>
      <c r="BR88" s="52"/>
      <c r="BS88" s="52"/>
      <c r="BT88" s="52"/>
      <c r="BU88" s="52"/>
      <c r="BV88" s="52"/>
      <c r="BW88" s="52"/>
      <c r="BX88" s="52"/>
      <c r="BY88" s="52"/>
      <c r="BZ88" s="52"/>
      <c r="CA88" s="52"/>
      <c r="CB88" s="52"/>
      <c r="CC88" s="52"/>
      <c r="CD88" s="52"/>
      <c r="CE88" s="52"/>
      <c r="CF88" s="52"/>
      <c r="CG88" s="52"/>
      <c r="CH88" s="52"/>
      <c r="CI88" s="52"/>
      <c r="CJ88" s="52"/>
      <c r="CK88" s="52"/>
      <c r="CL88" s="52"/>
      <c r="CM88" s="52"/>
      <c r="CN88" s="52"/>
      <c r="CO88" s="52"/>
      <c r="CP88" s="52"/>
      <c r="CQ88" s="52"/>
      <c r="CR88" s="52"/>
      <c r="CS88" s="52"/>
      <c r="CT88" s="52"/>
      <c r="CU88" s="52"/>
      <c r="CV88" s="52"/>
      <c r="CW88" s="52"/>
      <c r="CX88" s="52"/>
      <c r="CY88" s="52"/>
      <c r="CZ88" s="52"/>
      <c r="DA88" s="52"/>
      <c r="DB88" s="52"/>
      <c r="DC88" s="52"/>
      <c r="DD88" s="52"/>
      <c r="DE88" s="52"/>
      <c r="DF88" s="52"/>
      <c r="DG88" s="52"/>
      <c r="DH88" s="52"/>
      <c r="DI88" s="52"/>
      <c r="DJ88" s="52"/>
      <c r="DK88" s="52"/>
      <c r="DL88" s="52"/>
      <c r="DM88" s="52"/>
      <c r="DN88" s="52"/>
      <c r="DO88" s="52"/>
      <c r="DP88" s="52"/>
      <c r="DQ88" s="52"/>
      <c r="DR88" s="52"/>
      <c r="DS88" s="52"/>
      <c r="DT88" s="52"/>
      <c r="DU88" s="52"/>
      <c r="DV88" s="52"/>
      <c r="DW88" s="52"/>
      <c r="DX88" s="52"/>
      <c r="DY88" s="52"/>
      <c r="DZ88" s="52"/>
      <c r="EA88" s="52"/>
      <c r="EB88" s="52"/>
      <c r="EC88" s="52"/>
      <c r="ED88" s="52"/>
      <c r="EE88" s="52"/>
      <c r="EF88" s="52"/>
      <c r="EG88" s="52"/>
      <c r="EH88" s="52"/>
      <c r="EI88" s="52"/>
      <c r="EJ88" s="52"/>
      <c r="EK88" s="52"/>
      <c r="EL88" s="52"/>
      <c r="EM88" s="52"/>
      <c r="EN88" s="52"/>
      <c r="EO88" s="52"/>
      <c r="EP88" s="52"/>
      <c r="EQ88" s="52"/>
      <c r="ER88" s="52"/>
      <c r="ES88" s="52"/>
      <c r="ET88" s="52"/>
      <c r="EU88" s="52"/>
      <c r="EV88" s="52"/>
      <c r="EW88" s="52"/>
      <c r="EX88" s="52"/>
      <c r="EY88" s="52"/>
      <c r="EZ88" s="52"/>
      <c r="FA88" s="52"/>
      <c r="FB88" s="52"/>
      <c r="FC88" s="52"/>
      <c r="FD88" s="52"/>
      <c r="FE88" s="52"/>
      <c r="FF88" s="52"/>
      <c r="FG88" s="52"/>
      <c r="FH88" s="52"/>
      <c r="FI88" s="52"/>
      <c r="FJ88" s="52"/>
      <c r="FK88" s="52"/>
      <c r="FL88" s="52"/>
      <c r="FM88" s="52"/>
      <c r="FN88" s="52"/>
      <c r="FO88" s="52"/>
      <c r="FP88" s="52"/>
      <c r="FQ88" s="52"/>
      <c r="FR88" s="52"/>
      <c r="FS88" s="52"/>
      <c r="FT88" s="52"/>
      <c r="FU88" s="52"/>
    </row>
    <row r="89" spans="1:177" ht="11.25" customHeight="1">
      <c r="A89" s="209"/>
      <c r="B89" s="268" t="s">
        <v>345</v>
      </c>
      <c r="C89" s="282" t="s">
        <v>165</v>
      </c>
      <c r="D89" s="10" t="s">
        <v>260</v>
      </c>
      <c r="E89" s="10"/>
      <c r="F89" s="279" t="s">
        <v>178</v>
      </c>
      <c r="G89" s="268"/>
      <c r="H89" s="737">
        <f>'ET-luvun Laskenta'!L89</f>
        <v>3000</v>
      </c>
      <c r="I89" s="134"/>
      <c r="J89" s="135"/>
      <c r="K89" s="13" t="s">
        <v>186</v>
      </c>
      <c r="L89" s="677">
        <v>43.7</v>
      </c>
      <c r="M89" s="677">
        <v>81</v>
      </c>
      <c r="N89" s="677">
        <v>103.4</v>
      </c>
      <c r="O89" s="677">
        <v>86.7</v>
      </c>
      <c r="T89" s="10"/>
      <c r="U89" s="175" t="s">
        <v>275</v>
      </c>
      <c r="V89" s="175"/>
      <c r="W89" s="175"/>
      <c r="X89" s="175"/>
      <c r="Y89" s="286"/>
      <c r="Z89" s="286">
        <v>0</v>
      </c>
      <c r="AA89" s="97"/>
      <c r="AB89" s="239"/>
      <c r="AC89" s="97"/>
      <c r="AD89" s="10"/>
      <c r="AE89" s="98"/>
      <c r="AF89" s="98"/>
      <c r="AG89" s="98"/>
      <c r="AH89" s="98"/>
      <c r="AI89" s="98"/>
      <c r="AJ89" s="98"/>
      <c r="AK89" s="98"/>
      <c r="AL89" s="98"/>
      <c r="AM89" s="98"/>
      <c r="AN89" s="98"/>
      <c r="AO89" s="98"/>
      <c r="AP89" s="52"/>
      <c r="AQ89" s="447" t="s">
        <v>724</v>
      </c>
      <c r="AR89" s="447" t="s">
        <v>57</v>
      </c>
      <c r="AS89" s="447"/>
      <c r="AT89" s="13">
        <f>1.2*'ET-luvun Laskenta'!D92/100*D58*('ET-luvun Laskenta'!D93-'ET-luvun Laskenta'!D66-AT88*('ET-luvun Laskenta'!D59-'ET-luvun Laskenta'!D66))/1000</f>
        <v>0.7739999999999997</v>
      </c>
      <c r="AU89" s="13"/>
      <c r="AV89" s="52"/>
      <c r="AW89" s="52"/>
      <c r="AX89" s="52"/>
      <c r="AY89" s="52"/>
      <c r="AZ89" s="52"/>
      <c r="BA89" s="52"/>
      <c r="BB89" s="52"/>
      <c r="BC89" s="52"/>
      <c r="BD89" s="52"/>
      <c r="BE89" s="52"/>
      <c r="BF89" s="52"/>
      <c r="BG89" s="52"/>
      <c r="BH89" s="52"/>
      <c r="BI89" s="52"/>
      <c r="BJ89" s="52"/>
      <c r="BK89" s="52"/>
      <c r="BL89" s="52"/>
      <c r="BM89" s="52"/>
      <c r="BN89" s="52"/>
      <c r="BO89" s="52"/>
      <c r="BP89" s="52"/>
      <c r="BQ89" s="52"/>
      <c r="BR89" s="52"/>
      <c r="BS89" s="52"/>
      <c r="BT89" s="52"/>
      <c r="BU89" s="52"/>
      <c r="BV89" s="52"/>
      <c r="BW89" s="52"/>
      <c r="BX89" s="52"/>
      <c r="BY89" s="52"/>
      <c r="BZ89" s="52"/>
      <c r="CA89" s="52"/>
      <c r="CB89" s="52"/>
      <c r="CC89" s="52"/>
      <c r="CD89" s="52"/>
      <c r="CE89" s="52"/>
      <c r="CF89" s="52"/>
      <c r="CG89" s="52"/>
      <c r="CH89" s="52"/>
      <c r="CI89" s="52"/>
      <c r="CJ89" s="52"/>
      <c r="CK89" s="52"/>
      <c r="CL89" s="52"/>
      <c r="CM89" s="52"/>
      <c r="CN89" s="52"/>
      <c r="CO89" s="52"/>
      <c r="CP89" s="52"/>
      <c r="CQ89" s="52"/>
      <c r="CR89" s="52"/>
      <c r="CS89" s="52"/>
      <c r="CT89" s="52"/>
      <c r="CU89" s="52"/>
      <c r="CV89" s="52"/>
      <c r="CW89" s="52"/>
      <c r="CX89" s="52"/>
      <c r="CY89" s="52"/>
      <c r="CZ89" s="52"/>
      <c r="DA89" s="52"/>
      <c r="DB89" s="52"/>
      <c r="DC89" s="52"/>
      <c r="DD89" s="52"/>
      <c r="DE89" s="52"/>
      <c r="DF89" s="52"/>
      <c r="DG89" s="52"/>
      <c r="DH89" s="52"/>
      <c r="DI89" s="52"/>
      <c r="DJ89" s="52"/>
      <c r="DK89" s="52"/>
      <c r="DL89" s="52"/>
      <c r="DM89" s="52"/>
      <c r="DN89" s="52"/>
      <c r="DO89" s="52"/>
      <c r="DP89" s="52"/>
      <c r="DQ89" s="52"/>
      <c r="DR89" s="52"/>
      <c r="DS89" s="52"/>
      <c r="DT89" s="52"/>
      <c r="DU89" s="52"/>
      <c r="DV89" s="52"/>
      <c r="DW89" s="52"/>
      <c r="DX89" s="52"/>
      <c r="DY89" s="52"/>
      <c r="DZ89" s="52"/>
      <c r="EA89" s="52"/>
      <c r="EB89" s="52"/>
      <c r="EC89" s="52"/>
      <c r="ED89" s="52"/>
      <c r="EE89" s="52"/>
      <c r="EF89" s="52"/>
      <c r="EG89" s="52"/>
      <c r="EH89" s="52"/>
      <c r="EI89" s="52"/>
      <c r="EJ89" s="52"/>
      <c r="EK89" s="52"/>
      <c r="EL89" s="52"/>
      <c r="EM89" s="52"/>
      <c r="EN89" s="52"/>
      <c r="EO89" s="52"/>
      <c r="EP89" s="52"/>
      <c r="EQ89" s="52"/>
      <c r="ER89" s="52"/>
      <c r="ES89" s="52"/>
      <c r="ET89" s="52"/>
      <c r="EU89" s="52"/>
      <c r="EV89" s="52"/>
      <c r="EW89" s="52"/>
      <c r="EX89" s="52"/>
      <c r="EY89" s="52"/>
      <c r="EZ89" s="52"/>
      <c r="FA89" s="52"/>
      <c r="FB89" s="52"/>
      <c r="FC89" s="52"/>
      <c r="FD89" s="52"/>
      <c r="FE89" s="52"/>
      <c r="FF89" s="52"/>
      <c r="FG89" s="52"/>
      <c r="FH89" s="52"/>
      <c r="FI89" s="52"/>
      <c r="FJ89" s="52"/>
      <c r="FK89" s="52"/>
      <c r="FL89" s="52"/>
      <c r="FM89" s="52"/>
      <c r="FN89" s="52"/>
      <c r="FO89" s="52"/>
      <c r="FP89" s="52"/>
      <c r="FQ89" s="52"/>
      <c r="FR89" s="52"/>
      <c r="FS89" s="52"/>
      <c r="FT89" s="52"/>
      <c r="FU89" s="52"/>
    </row>
    <row r="90" spans="1:177" ht="11.25" customHeight="1">
      <c r="A90" s="209"/>
      <c r="B90" s="267" t="s">
        <v>318</v>
      </c>
      <c r="C90" s="282" t="s">
        <v>698</v>
      </c>
      <c r="D90" s="35" t="s">
        <v>321</v>
      </c>
      <c r="E90" s="35"/>
      <c r="F90" s="279" t="s">
        <v>319</v>
      </c>
      <c r="G90" s="270"/>
      <c r="H90" s="736">
        <f>'ET-luvun Laskenta'!L90</f>
        <v>0</v>
      </c>
      <c r="I90" s="134"/>
      <c r="J90" s="135"/>
      <c r="K90" s="10" t="s">
        <v>187</v>
      </c>
      <c r="L90" s="676">
        <v>23.5</v>
      </c>
      <c r="M90" s="676">
        <v>50.5</v>
      </c>
      <c r="N90" s="676">
        <v>84.5</v>
      </c>
      <c r="O90" s="676">
        <v>56.5</v>
      </c>
      <c r="T90" s="10"/>
      <c r="U90" s="166" t="s">
        <v>356</v>
      </c>
      <c r="V90" s="13"/>
      <c r="W90" s="13"/>
      <c r="X90" s="13"/>
      <c r="Y90" s="97"/>
      <c r="Z90" s="136">
        <f>Z87+Z88-Z89</f>
        <v>6193.5675</v>
      </c>
      <c r="AA90" s="98">
        <f>Z90/'ET-luvun Laskenta'!C28</f>
        <v>30.9678375</v>
      </c>
      <c r="AB90" s="239"/>
      <c r="AC90" s="97"/>
      <c r="AD90" s="10"/>
      <c r="AE90" s="98"/>
      <c r="AF90" s="98"/>
      <c r="AG90" s="98"/>
      <c r="AH90" s="98"/>
      <c r="AI90" s="98"/>
      <c r="AJ90" s="98"/>
      <c r="AK90" s="98"/>
      <c r="AL90" s="98"/>
      <c r="AM90" s="98"/>
      <c r="AN90" s="98"/>
      <c r="AO90" s="10"/>
      <c r="AP90" s="31" t="s">
        <v>58</v>
      </c>
      <c r="AQ90" s="52" t="s">
        <v>715</v>
      </c>
      <c r="AR90" s="447"/>
      <c r="AS90" s="447"/>
      <c r="AT90" s="13"/>
      <c r="AU90" s="13">
        <f>(AU82+AU83+AU87-AT89)/0.9+AT89/'ET-luvun Laskenta'!D109</f>
        <v>5.664251851851851</v>
      </c>
      <c r="AV90" s="52"/>
      <c r="AW90" s="52"/>
      <c r="AX90" s="52"/>
      <c r="AY90" s="52"/>
      <c r="AZ90" s="52"/>
      <c r="BA90" s="52"/>
      <c r="BB90" s="52"/>
      <c r="BC90" s="52"/>
      <c r="BD90" s="52"/>
      <c r="BE90" s="52"/>
      <c r="BF90" s="52"/>
      <c r="BG90" s="52"/>
      <c r="BH90" s="52"/>
      <c r="BI90" s="52"/>
      <c r="BJ90" s="52"/>
      <c r="BK90" s="52"/>
      <c r="BL90" s="52"/>
      <c r="BM90" s="52"/>
      <c r="BN90" s="52"/>
      <c r="BO90" s="52"/>
      <c r="BP90" s="52"/>
      <c r="BQ90" s="52"/>
      <c r="BR90" s="52"/>
      <c r="BS90" s="52"/>
      <c r="BT90" s="52"/>
      <c r="BU90" s="52"/>
      <c r="BV90" s="52"/>
      <c r="BW90" s="52"/>
      <c r="BX90" s="52"/>
      <c r="BY90" s="52"/>
      <c r="BZ90" s="52"/>
      <c r="CA90" s="52"/>
      <c r="CB90" s="52"/>
      <c r="CC90" s="52"/>
      <c r="CD90" s="52"/>
      <c r="CE90" s="52"/>
      <c r="CF90" s="52"/>
      <c r="CG90" s="52"/>
      <c r="CH90" s="52"/>
      <c r="CI90" s="52"/>
      <c r="CJ90" s="52"/>
      <c r="CK90" s="52"/>
      <c r="CL90" s="52"/>
      <c r="CM90" s="52"/>
      <c r="CN90" s="52"/>
      <c r="CO90" s="52"/>
      <c r="CP90" s="52"/>
      <c r="CQ90" s="52"/>
      <c r="CR90" s="52"/>
      <c r="CS90" s="52"/>
      <c r="CT90" s="52"/>
      <c r="CU90" s="52"/>
      <c r="CV90" s="52"/>
      <c r="CW90" s="52"/>
      <c r="CX90" s="52"/>
      <c r="CY90" s="52"/>
      <c r="CZ90" s="52"/>
      <c r="DA90" s="52"/>
      <c r="DB90" s="52"/>
      <c r="DC90" s="52"/>
      <c r="DD90" s="52"/>
      <c r="DE90" s="52"/>
      <c r="DF90" s="52"/>
      <c r="DG90" s="52"/>
      <c r="DH90" s="52"/>
      <c r="DI90" s="52"/>
      <c r="DJ90" s="52"/>
      <c r="DK90" s="52"/>
      <c r="DL90" s="52"/>
      <c r="DM90" s="52"/>
      <c r="DN90" s="52"/>
      <c r="DO90" s="52"/>
      <c r="DP90" s="52"/>
      <c r="DQ90" s="52"/>
      <c r="DR90" s="52"/>
      <c r="DS90" s="52"/>
      <c r="DT90" s="52"/>
      <c r="DU90" s="52"/>
      <c r="DV90" s="52"/>
      <c r="DW90" s="52"/>
      <c r="DX90" s="52"/>
      <c r="DY90" s="52"/>
      <c r="DZ90" s="52"/>
      <c r="EA90" s="52"/>
      <c r="EB90" s="52"/>
      <c r="EC90" s="52"/>
      <c r="ED90" s="52"/>
      <c r="EE90" s="52"/>
      <c r="EF90" s="52"/>
      <c r="EG90" s="52"/>
      <c r="EH90" s="52"/>
      <c r="EI90" s="52"/>
      <c r="EJ90" s="52"/>
      <c r="EK90" s="52"/>
      <c r="EL90" s="52"/>
      <c r="EM90" s="52"/>
      <c r="EN90" s="52"/>
      <c r="EO90" s="52"/>
      <c r="EP90" s="52"/>
      <c r="EQ90" s="52"/>
      <c r="ER90" s="52"/>
      <c r="ES90" s="52"/>
      <c r="ET90" s="52"/>
      <c r="EU90" s="52"/>
      <c r="EV90" s="52"/>
      <c r="EW90" s="52"/>
      <c r="EX90" s="52"/>
      <c r="EY90" s="52"/>
      <c r="EZ90" s="52"/>
      <c r="FA90" s="52"/>
      <c r="FB90" s="52"/>
      <c r="FC90" s="52"/>
      <c r="FD90" s="52"/>
      <c r="FE90" s="52"/>
      <c r="FF90" s="52"/>
      <c r="FG90" s="52"/>
      <c r="FH90" s="52"/>
      <c r="FI90" s="52"/>
      <c r="FJ90" s="52"/>
      <c r="FK90" s="52"/>
      <c r="FL90" s="52"/>
      <c r="FM90" s="52"/>
      <c r="FN90" s="52"/>
      <c r="FO90" s="52"/>
      <c r="FP90" s="52"/>
      <c r="FQ90" s="52"/>
      <c r="FR90" s="52"/>
      <c r="FS90" s="52"/>
      <c r="FT90" s="52"/>
      <c r="FU90" s="52"/>
    </row>
    <row r="91" spans="1:177" ht="11.25" customHeight="1">
      <c r="A91" s="287"/>
      <c r="B91" s="267" t="s">
        <v>346</v>
      </c>
      <c r="C91" s="282" t="s">
        <v>165</v>
      </c>
      <c r="D91" s="35" t="s">
        <v>320</v>
      </c>
      <c r="E91" s="35"/>
      <c r="F91" s="279" t="s">
        <v>699</v>
      </c>
      <c r="G91" s="270"/>
      <c r="H91" s="736">
        <f>'ET-luvun Laskenta'!L91</f>
        <v>3000</v>
      </c>
      <c r="I91" s="288"/>
      <c r="J91" s="99"/>
      <c r="K91" s="10" t="s">
        <v>188</v>
      </c>
      <c r="L91" s="676">
        <v>13.6</v>
      </c>
      <c r="M91" s="676">
        <v>25.5</v>
      </c>
      <c r="N91" s="676">
        <v>49.3</v>
      </c>
      <c r="O91" s="676">
        <v>24.1</v>
      </c>
      <c r="T91" s="10"/>
      <c r="U91" s="13"/>
      <c r="V91" s="13"/>
      <c r="W91" s="13"/>
      <c r="X91" s="13"/>
      <c r="Y91" s="97"/>
      <c r="Z91" s="97"/>
      <c r="AA91" s="97"/>
      <c r="AB91" s="239"/>
      <c r="AC91" s="97"/>
      <c r="AD91" s="10"/>
      <c r="AE91" s="10"/>
      <c r="AF91" s="10"/>
      <c r="AG91" s="10"/>
      <c r="AH91" s="10"/>
      <c r="AI91" s="10"/>
      <c r="AJ91" s="10"/>
      <c r="AK91" s="10"/>
      <c r="AL91" s="10"/>
      <c r="AM91" s="10"/>
      <c r="AN91" s="10"/>
      <c r="AZ91" s="52"/>
      <c r="BA91" s="52"/>
      <c r="BB91" s="52"/>
      <c r="BC91" s="52"/>
      <c r="BD91" s="52"/>
      <c r="BE91" s="52"/>
      <c r="BF91" s="52"/>
      <c r="BG91" s="52"/>
      <c r="BH91" s="52"/>
      <c r="BI91" s="52"/>
      <c r="BJ91" s="52"/>
      <c r="BK91" s="52"/>
      <c r="BL91" s="52"/>
      <c r="BM91" s="52"/>
      <c r="BN91" s="52"/>
      <c r="BO91" s="52"/>
      <c r="BP91" s="52"/>
      <c r="BQ91" s="52"/>
      <c r="BR91" s="52"/>
      <c r="BS91" s="52"/>
      <c r="BT91" s="52"/>
      <c r="BU91" s="52"/>
      <c r="BV91" s="52"/>
      <c r="BW91" s="52"/>
      <c r="BX91" s="52"/>
      <c r="BY91" s="52"/>
      <c r="BZ91" s="52"/>
      <c r="CA91" s="52"/>
      <c r="CB91" s="52"/>
      <c r="CC91" s="52"/>
      <c r="CD91" s="52"/>
      <c r="CE91" s="52"/>
      <c r="CF91" s="52"/>
      <c r="CG91" s="52"/>
      <c r="CH91" s="52"/>
      <c r="CI91" s="52"/>
      <c r="CJ91" s="52"/>
      <c r="CK91" s="52"/>
      <c r="CL91" s="52"/>
      <c r="CM91" s="52"/>
      <c r="CN91" s="52"/>
      <c r="CO91" s="52"/>
      <c r="CP91" s="52"/>
      <c r="CQ91" s="52"/>
      <c r="CR91" s="52"/>
      <c r="CS91" s="52"/>
      <c r="CT91" s="52"/>
      <c r="CU91" s="52"/>
      <c r="CV91" s="52"/>
      <c r="CW91" s="52"/>
      <c r="CX91" s="52"/>
      <c r="CY91" s="52"/>
      <c r="CZ91" s="52"/>
      <c r="DA91" s="52"/>
      <c r="DB91" s="52"/>
      <c r="DC91" s="52"/>
      <c r="DD91" s="52"/>
      <c r="DE91" s="52"/>
      <c r="DF91" s="52"/>
      <c r="DG91" s="52"/>
      <c r="DH91" s="52"/>
      <c r="DI91" s="52"/>
      <c r="DJ91" s="52"/>
      <c r="DK91" s="52"/>
      <c r="DL91" s="52"/>
      <c r="DM91" s="52"/>
      <c r="DN91" s="52"/>
      <c r="DO91" s="52"/>
      <c r="DP91" s="52"/>
      <c r="DQ91" s="52"/>
      <c r="DR91" s="52"/>
      <c r="DS91" s="52"/>
      <c r="DT91" s="52"/>
      <c r="DU91" s="52"/>
      <c r="DV91" s="52"/>
      <c r="DW91" s="52"/>
      <c r="DX91" s="52"/>
      <c r="DY91" s="52"/>
      <c r="DZ91" s="52"/>
      <c r="EA91" s="52"/>
      <c r="EB91" s="52"/>
      <c r="EC91" s="52"/>
      <c r="ED91" s="52"/>
      <c r="EE91" s="52"/>
      <c r="EF91" s="52"/>
      <c r="EG91" s="52"/>
      <c r="EH91" s="52"/>
      <c r="EI91" s="52"/>
      <c r="EJ91" s="52"/>
      <c r="EK91" s="52"/>
      <c r="EL91" s="52"/>
      <c r="EM91" s="52"/>
      <c r="EN91" s="52"/>
      <c r="EO91" s="52"/>
      <c r="EP91" s="52"/>
      <c r="EQ91" s="52"/>
      <c r="ER91" s="52"/>
      <c r="ES91" s="52"/>
      <c r="ET91" s="52"/>
      <c r="EU91" s="52"/>
      <c r="EV91" s="52"/>
      <c r="EW91" s="52"/>
      <c r="EX91" s="52"/>
      <c r="EY91" s="52"/>
      <c r="EZ91" s="52"/>
      <c r="FA91" s="52"/>
      <c r="FB91" s="52"/>
      <c r="FC91" s="52"/>
      <c r="FD91" s="52"/>
      <c r="FE91" s="52"/>
      <c r="FF91" s="52"/>
      <c r="FG91" s="52"/>
      <c r="FH91" s="52"/>
      <c r="FI91" s="52"/>
      <c r="FJ91" s="52"/>
      <c r="FK91" s="52"/>
      <c r="FL91" s="52"/>
      <c r="FM91" s="52"/>
      <c r="FN91" s="52"/>
      <c r="FO91" s="52"/>
      <c r="FP91" s="52"/>
      <c r="FQ91" s="52"/>
      <c r="FR91" s="52"/>
      <c r="FS91" s="52"/>
      <c r="FT91" s="52"/>
      <c r="FU91" s="52"/>
    </row>
    <row r="92" spans="1:177" ht="11.25" customHeight="1">
      <c r="A92" s="287"/>
      <c r="B92" s="268" t="s">
        <v>347</v>
      </c>
      <c r="C92" s="282" t="s">
        <v>7</v>
      </c>
      <c r="D92" s="35" t="s">
        <v>695</v>
      </c>
      <c r="E92" s="35"/>
      <c r="F92" s="279" t="s">
        <v>261</v>
      </c>
      <c r="G92" s="270"/>
      <c r="H92" s="742">
        <f>'ET-luvun Laskenta'!L92</f>
        <v>0</v>
      </c>
      <c r="I92" s="288"/>
      <c r="J92" s="99"/>
      <c r="K92" s="10" t="s">
        <v>189</v>
      </c>
      <c r="L92" s="676">
        <v>4.4</v>
      </c>
      <c r="M92" s="676">
        <v>5.3</v>
      </c>
      <c r="N92" s="676">
        <v>10.4</v>
      </c>
      <c r="O92" s="676">
        <v>5.8</v>
      </c>
      <c r="T92" s="93"/>
      <c r="U92" s="166" t="s">
        <v>278</v>
      </c>
      <c r="V92" s="13"/>
      <c r="W92" s="13"/>
      <c r="X92" s="13"/>
      <c r="Y92" s="97"/>
      <c r="Z92" s="136">
        <f>Z84+Z90</f>
        <v>13962.69993958958</v>
      </c>
      <c r="AA92" s="98">
        <f>Z92/'ET-luvun Laskenta'!C28</f>
        <v>69.8134996979479</v>
      </c>
      <c r="AB92" s="239"/>
      <c r="AC92" s="97"/>
      <c r="AD92" s="93"/>
      <c r="AE92" s="93"/>
      <c r="AF92" s="93"/>
      <c r="AG92" s="93"/>
      <c r="AH92" s="93"/>
      <c r="AI92" s="93"/>
      <c r="AJ92" s="93"/>
      <c r="AK92" s="93"/>
      <c r="AL92" s="93"/>
      <c r="AM92" s="93"/>
      <c r="AN92" s="93"/>
      <c r="AO92" s="93"/>
      <c r="AP92" s="447" t="s">
        <v>709</v>
      </c>
      <c r="AQ92" s="447"/>
      <c r="AR92" s="447"/>
      <c r="AS92" s="447"/>
      <c r="AT92" s="13"/>
      <c r="AU92" s="13"/>
      <c r="AV92" s="52"/>
      <c r="AW92" s="52"/>
      <c r="AX92" s="52"/>
      <c r="AY92" s="52"/>
      <c r="AZ92" s="52"/>
      <c r="BA92" s="52"/>
      <c r="BB92" s="52"/>
      <c r="BC92" s="52"/>
      <c r="BD92" s="52"/>
      <c r="BE92" s="52"/>
      <c r="BF92" s="52"/>
      <c r="BG92" s="52"/>
      <c r="BH92" s="52"/>
      <c r="BI92" s="52"/>
      <c r="BJ92" s="52"/>
      <c r="BK92" s="52"/>
      <c r="BL92" s="52"/>
      <c r="BM92" s="52"/>
      <c r="BN92" s="52"/>
      <c r="BO92" s="52"/>
      <c r="BP92" s="52"/>
      <c r="BQ92" s="52"/>
      <c r="BR92" s="52"/>
      <c r="BS92" s="52"/>
      <c r="BT92" s="52"/>
      <c r="BU92" s="52"/>
      <c r="BV92" s="52"/>
      <c r="BW92" s="52"/>
      <c r="BX92" s="52"/>
      <c r="BY92" s="52"/>
      <c r="BZ92" s="52"/>
      <c r="CA92" s="52"/>
      <c r="CB92" s="52"/>
      <c r="CC92" s="52"/>
      <c r="CD92" s="52"/>
      <c r="CE92" s="52"/>
      <c r="CF92" s="52"/>
      <c r="CG92" s="52"/>
      <c r="CH92" s="52"/>
      <c r="CI92" s="52"/>
      <c r="CJ92" s="52"/>
      <c r="CK92" s="52"/>
      <c r="CL92" s="52"/>
      <c r="CM92" s="52"/>
      <c r="CN92" s="52"/>
      <c r="CO92" s="52"/>
      <c r="CP92" s="52"/>
      <c r="CQ92" s="52"/>
      <c r="CR92" s="52"/>
      <c r="CS92" s="52"/>
      <c r="CT92" s="52"/>
      <c r="CU92" s="52"/>
      <c r="CV92" s="52"/>
      <c r="CW92" s="52"/>
      <c r="CX92" s="52"/>
      <c r="CY92" s="52"/>
      <c r="CZ92" s="52"/>
      <c r="DA92" s="52"/>
      <c r="DB92" s="52"/>
      <c r="DC92" s="52"/>
      <c r="DD92" s="52"/>
      <c r="DE92" s="52"/>
      <c r="DF92" s="52"/>
      <c r="DG92" s="52"/>
      <c r="DH92" s="52"/>
      <c r="DI92" s="52"/>
      <c r="DJ92" s="52"/>
      <c r="DK92" s="52"/>
      <c r="DL92" s="52"/>
      <c r="DM92" s="52"/>
      <c r="DN92" s="52"/>
      <c r="DO92" s="52"/>
      <c r="DP92" s="52"/>
      <c r="DQ92" s="52"/>
      <c r="DR92" s="52"/>
      <c r="DS92" s="52"/>
      <c r="DT92" s="52"/>
      <c r="DU92" s="52"/>
      <c r="DV92" s="52"/>
      <c r="DW92" s="52"/>
      <c r="DX92" s="52"/>
      <c r="DY92" s="52"/>
      <c r="DZ92" s="52"/>
      <c r="EA92" s="52"/>
      <c r="EB92" s="52"/>
      <c r="EC92" s="52"/>
      <c r="ED92" s="52"/>
      <c r="EE92" s="52"/>
      <c r="EF92" s="52"/>
      <c r="EG92" s="52"/>
      <c r="EH92" s="52"/>
      <c r="EI92" s="52"/>
      <c r="EJ92" s="52"/>
      <c r="EK92" s="52"/>
      <c r="EL92" s="52"/>
      <c r="EM92" s="52"/>
      <c r="EN92" s="52"/>
      <c r="EO92" s="52"/>
      <c r="EP92" s="52"/>
      <c r="EQ92" s="52"/>
      <c r="ER92" s="52"/>
      <c r="ES92" s="52"/>
      <c r="ET92" s="52"/>
      <c r="EU92" s="52"/>
      <c r="EV92" s="52"/>
      <c r="EW92" s="52"/>
      <c r="EX92" s="52"/>
      <c r="EY92" s="52"/>
      <c r="EZ92" s="52"/>
      <c r="FA92" s="52"/>
      <c r="FB92" s="52"/>
      <c r="FC92" s="52"/>
      <c r="FD92" s="52"/>
      <c r="FE92" s="52"/>
      <c r="FF92" s="52"/>
      <c r="FG92" s="52"/>
      <c r="FH92" s="52"/>
      <c r="FI92" s="52"/>
      <c r="FJ92" s="52"/>
      <c r="FK92" s="52"/>
      <c r="FL92" s="52"/>
      <c r="FM92" s="52"/>
      <c r="FN92" s="52"/>
      <c r="FO92" s="52"/>
      <c r="FP92" s="52"/>
      <c r="FQ92" s="52"/>
      <c r="FR92" s="52"/>
      <c r="FS92" s="52"/>
      <c r="FT92" s="52"/>
      <c r="FU92" s="52"/>
    </row>
    <row r="93" spans="1:177" ht="11.25" customHeight="1">
      <c r="A93" s="287"/>
      <c r="B93" s="283"/>
      <c r="C93" s="282"/>
      <c r="D93" s="35"/>
      <c r="E93" s="35"/>
      <c r="F93" s="279"/>
      <c r="G93" s="270"/>
      <c r="H93" s="741"/>
      <c r="I93" s="288"/>
      <c r="J93" s="99"/>
      <c r="K93" s="10" t="s">
        <v>190</v>
      </c>
      <c r="L93" s="676">
        <v>2.6</v>
      </c>
      <c r="M93" s="676">
        <v>3.6</v>
      </c>
      <c r="N93" s="676">
        <v>15.1</v>
      </c>
      <c r="O93" s="676">
        <v>3.9</v>
      </c>
      <c r="T93" s="93"/>
      <c r="U93" s="289" t="s">
        <v>338</v>
      </c>
      <c r="V93" s="13"/>
      <c r="W93" s="13"/>
      <c r="X93" s="13"/>
      <c r="Y93" s="97"/>
      <c r="Z93" s="136">
        <f>S31</f>
        <v>10000.000000000002</v>
      </c>
      <c r="AA93" s="98">
        <f>Z93/'ET-luvun Laskenta'!C28</f>
        <v>50.00000000000001</v>
      </c>
      <c r="AB93" s="239"/>
      <c r="AC93" s="97"/>
      <c r="AD93" s="93"/>
      <c r="AE93" s="158"/>
      <c r="AF93" s="158"/>
      <c r="AG93" s="158"/>
      <c r="AH93" s="158"/>
      <c r="AI93" s="158"/>
      <c r="AJ93" s="158"/>
      <c r="AK93" s="158"/>
      <c r="AL93" s="158"/>
      <c r="AM93" s="158"/>
      <c r="AN93" s="158"/>
      <c r="AO93" s="158"/>
      <c r="AP93" s="447" t="s">
        <v>714</v>
      </c>
      <c r="AQ93" s="447" t="s">
        <v>2</v>
      </c>
      <c r="AR93" s="447"/>
      <c r="AS93" s="447"/>
      <c r="AT93" s="13"/>
      <c r="AU93" s="226">
        <f>(4.2*'ET-luvun Laskenta'!D100*50+0.002*'ET-luvun Laskenta'!C28)/'ET-luvun Laskenta'!D109</f>
        <v>17.950000000000003</v>
      </c>
      <c r="AV93" s="52"/>
      <c r="AW93" s="52"/>
      <c r="AX93" s="52"/>
      <c r="AY93" s="52"/>
      <c r="AZ93" s="52"/>
      <c r="BA93" s="52"/>
      <c r="BB93" s="52"/>
      <c r="BC93" s="52"/>
      <c r="BD93" s="52"/>
      <c r="BE93" s="52"/>
      <c r="BF93" s="52"/>
      <c r="BG93" s="52"/>
      <c r="BH93" s="52"/>
      <c r="BI93" s="52"/>
      <c r="BJ93" s="52"/>
      <c r="BK93" s="52"/>
      <c r="BL93" s="52"/>
      <c r="BM93" s="52"/>
      <c r="BN93" s="52"/>
      <c r="BO93" s="52"/>
      <c r="BP93" s="52"/>
      <c r="BQ93" s="52"/>
      <c r="BR93" s="52"/>
      <c r="BS93" s="52"/>
      <c r="BT93" s="52"/>
      <c r="BU93" s="52"/>
      <c r="BV93" s="52"/>
      <c r="BW93" s="52"/>
      <c r="BX93" s="52"/>
      <c r="BY93" s="52"/>
      <c r="BZ93" s="52"/>
      <c r="CA93" s="52"/>
      <c r="CB93" s="52"/>
      <c r="CC93" s="52"/>
      <c r="CD93" s="52"/>
      <c r="CE93" s="52"/>
      <c r="CF93" s="52"/>
      <c r="CG93" s="52"/>
      <c r="CH93" s="52"/>
      <c r="CI93" s="52"/>
      <c r="CJ93" s="52"/>
      <c r="CK93" s="52"/>
      <c r="CL93" s="52"/>
      <c r="CM93" s="52"/>
      <c r="CN93" s="52"/>
      <c r="CO93" s="52"/>
      <c r="CP93" s="52"/>
      <c r="CQ93" s="52"/>
      <c r="CR93" s="52"/>
      <c r="CS93" s="52"/>
      <c r="CT93" s="52"/>
      <c r="CU93" s="52"/>
      <c r="CV93" s="52"/>
      <c r="CW93" s="52"/>
      <c r="CX93" s="52"/>
      <c r="CY93" s="52"/>
      <c r="CZ93" s="52"/>
      <c r="DA93" s="52"/>
      <c r="DB93" s="52"/>
      <c r="DC93" s="52"/>
      <c r="DD93" s="52"/>
      <c r="DE93" s="52"/>
      <c r="DF93" s="52"/>
      <c r="DG93" s="52"/>
      <c r="DH93" s="52"/>
      <c r="DI93" s="52"/>
      <c r="DJ93" s="52"/>
      <c r="DK93" s="52"/>
      <c r="DL93" s="52"/>
      <c r="DM93" s="52"/>
      <c r="DN93" s="52"/>
      <c r="DO93" s="52"/>
      <c r="DP93" s="52"/>
      <c r="DQ93" s="52"/>
      <c r="DR93" s="52"/>
      <c r="DS93" s="52"/>
      <c r="DT93" s="52"/>
      <c r="DU93" s="52"/>
      <c r="DV93" s="52"/>
      <c r="DW93" s="52"/>
      <c r="DX93" s="52"/>
      <c r="DY93" s="52"/>
      <c r="DZ93" s="52"/>
      <c r="EA93" s="52"/>
      <c r="EB93" s="52"/>
      <c r="EC93" s="52"/>
      <c r="ED93" s="52"/>
      <c r="EE93" s="52"/>
      <c r="EF93" s="52"/>
      <c r="EG93" s="52"/>
      <c r="EH93" s="52"/>
      <c r="EI93" s="52"/>
      <c r="EJ93" s="52"/>
      <c r="EK93" s="52"/>
      <c r="EL93" s="52"/>
      <c r="EM93" s="52"/>
      <c r="EN93" s="52"/>
      <c r="EO93" s="52"/>
      <c r="EP93" s="52"/>
      <c r="EQ93" s="52"/>
      <c r="ER93" s="52"/>
      <c r="ES93" s="52"/>
      <c r="ET93" s="52"/>
      <c r="EU93" s="52"/>
      <c r="EV93" s="52"/>
      <c r="EW93" s="52"/>
      <c r="EX93" s="52"/>
      <c r="EY93" s="52"/>
      <c r="EZ93" s="52"/>
      <c r="FA93" s="52"/>
      <c r="FB93" s="52"/>
      <c r="FC93" s="52"/>
      <c r="FD93" s="52"/>
      <c r="FE93" s="52"/>
      <c r="FF93" s="52"/>
      <c r="FG93" s="52"/>
      <c r="FH93" s="52"/>
      <c r="FI93" s="52"/>
      <c r="FJ93" s="52"/>
      <c r="FK93" s="52"/>
      <c r="FL93" s="52"/>
      <c r="FM93" s="52"/>
      <c r="FN93" s="52"/>
      <c r="FO93" s="52"/>
      <c r="FP93" s="52"/>
      <c r="FQ93" s="52"/>
      <c r="FR93" s="52"/>
      <c r="FS93" s="52"/>
      <c r="FT93" s="52"/>
      <c r="FU93" s="52"/>
    </row>
    <row r="94" spans="1:177" ht="11.25" customHeight="1">
      <c r="A94" s="287"/>
      <c r="B94" s="127" t="s">
        <v>586</v>
      </c>
      <c r="C94" s="282" t="s">
        <v>169</v>
      </c>
      <c r="D94" s="35" t="s">
        <v>700</v>
      </c>
      <c r="E94" s="35"/>
      <c r="F94" s="279" t="s">
        <v>176</v>
      </c>
      <c r="G94" s="155"/>
      <c r="H94" s="741">
        <f>'ET-luvun Laskenta'!L94</f>
        <v>10000</v>
      </c>
      <c r="I94" s="288"/>
      <c r="J94" s="99"/>
      <c r="K94" s="10"/>
      <c r="L94" s="148"/>
      <c r="M94" s="148"/>
      <c r="N94" s="148"/>
      <c r="O94" s="148"/>
      <c r="T94" s="290"/>
      <c r="U94" s="291"/>
      <c r="V94" s="291" t="s">
        <v>412</v>
      </c>
      <c r="W94" s="291"/>
      <c r="X94" s="291"/>
      <c r="Y94" s="291"/>
      <c r="Z94" s="291">
        <f>SUM(Z92:Z93)</f>
        <v>23962.699939589584</v>
      </c>
      <c r="AA94" s="292">
        <f>Z94/'ET-luvun Laskenta'!C28</f>
        <v>119.81349969794792</v>
      </c>
      <c r="AB94" s="291"/>
      <c r="AC94" s="291"/>
      <c r="AD94" s="93"/>
      <c r="AE94" s="158"/>
      <c r="AF94" s="158"/>
      <c r="AG94" s="158"/>
      <c r="AH94" s="158"/>
      <c r="AI94" s="158"/>
      <c r="AJ94" s="158"/>
      <c r="AK94" s="158"/>
      <c r="AL94" s="158"/>
      <c r="AM94" s="158"/>
      <c r="AN94" s="158"/>
      <c r="AO94" s="158"/>
      <c r="AP94" s="447"/>
      <c r="AQ94" s="447"/>
      <c r="AR94" s="447"/>
      <c r="AS94" s="447"/>
      <c r="AT94" s="13"/>
      <c r="AU94" s="13"/>
      <c r="AV94" s="52"/>
      <c r="AW94" s="52"/>
      <c r="AX94" s="52"/>
      <c r="AY94" s="52"/>
      <c r="AZ94" s="52"/>
      <c r="BA94" s="52"/>
      <c r="BB94" s="52"/>
      <c r="BC94" s="52"/>
      <c r="BD94" s="52"/>
      <c r="BE94" s="52"/>
      <c r="BF94" s="52"/>
      <c r="BG94" s="52"/>
      <c r="BH94" s="52"/>
      <c r="BI94" s="52"/>
      <c r="BJ94" s="52"/>
      <c r="BK94" s="52"/>
      <c r="BL94" s="52"/>
      <c r="BM94" s="52"/>
      <c r="BN94" s="52"/>
      <c r="BO94" s="52"/>
      <c r="BP94" s="52"/>
      <c r="BQ94" s="52"/>
      <c r="BR94" s="52"/>
      <c r="BS94" s="52"/>
      <c r="BT94" s="52"/>
      <c r="BU94" s="52"/>
      <c r="BV94" s="52"/>
      <c r="BW94" s="52"/>
      <c r="BX94" s="52"/>
      <c r="BY94" s="52"/>
      <c r="BZ94" s="52"/>
      <c r="CA94" s="52"/>
      <c r="CB94" s="52"/>
      <c r="CC94" s="52"/>
      <c r="CD94" s="52"/>
      <c r="CE94" s="52"/>
      <c r="CF94" s="52"/>
      <c r="CG94" s="52"/>
      <c r="CH94" s="52"/>
      <c r="CI94" s="52"/>
      <c r="CJ94" s="52"/>
      <c r="CK94" s="52"/>
      <c r="CL94" s="52"/>
      <c r="CM94" s="52"/>
      <c r="CN94" s="52"/>
      <c r="CO94" s="52"/>
      <c r="CP94" s="52"/>
      <c r="CQ94" s="52"/>
      <c r="CR94" s="52"/>
      <c r="CS94" s="52"/>
      <c r="CT94" s="52"/>
      <c r="CU94" s="52"/>
      <c r="CV94" s="52"/>
      <c r="CW94" s="52"/>
      <c r="CX94" s="52"/>
      <c r="CY94" s="52"/>
      <c r="CZ94" s="52"/>
      <c r="DA94" s="52"/>
      <c r="DB94" s="52"/>
      <c r="DC94" s="52"/>
      <c r="DD94" s="52"/>
      <c r="DE94" s="52"/>
      <c r="DF94" s="52"/>
      <c r="DG94" s="52"/>
      <c r="DH94" s="52"/>
      <c r="DI94" s="52"/>
      <c r="DJ94" s="52"/>
      <c r="DK94" s="52"/>
      <c r="DL94" s="52"/>
      <c r="DM94" s="52"/>
      <c r="DN94" s="52"/>
      <c r="DO94" s="52"/>
      <c r="DP94" s="52"/>
      <c r="DQ94" s="52"/>
      <c r="DR94" s="52"/>
      <c r="DS94" s="52"/>
      <c r="DT94" s="52"/>
      <c r="DU94" s="52"/>
      <c r="DV94" s="52"/>
      <c r="DW94" s="52"/>
      <c r="DX94" s="52"/>
      <c r="DY94" s="52"/>
      <c r="DZ94" s="52"/>
      <c r="EA94" s="52"/>
      <c r="EB94" s="52"/>
      <c r="EC94" s="52"/>
      <c r="ED94" s="52"/>
      <c r="EE94" s="52"/>
      <c r="EF94" s="52"/>
      <c r="EG94" s="52"/>
      <c r="EH94" s="52"/>
      <c r="EI94" s="52"/>
      <c r="EJ94" s="52"/>
      <c r="EK94" s="52"/>
      <c r="EL94" s="52"/>
      <c r="EM94" s="52"/>
      <c r="EN94" s="52"/>
      <c r="EO94" s="52"/>
      <c r="EP94" s="52"/>
      <c r="EQ94" s="52"/>
      <c r="ER94" s="52"/>
      <c r="ES94" s="52"/>
      <c r="ET94" s="52"/>
      <c r="EU94" s="52"/>
      <c r="EV94" s="52"/>
      <c r="EW94" s="52"/>
      <c r="EX94" s="52"/>
      <c r="EY94" s="52"/>
      <c r="EZ94" s="52"/>
      <c r="FA94" s="52"/>
      <c r="FB94" s="52"/>
      <c r="FC94" s="52"/>
      <c r="FD94" s="52"/>
      <c r="FE94" s="52"/>
      <c r="FF94" s="52"/>
      <c r="FG94" s="52"/>
      <c r="FH94" s="52"/>
      <c r="FI94" s="52"/>
      <c r="FJ94" s="52"/>
      <c r="FK94" s="52"/>
      <c r="FL94" s="52"/>
      <c r="FM94" s="52"/>
      <c r="FN94" s="52"/>
      <c r="FO94" s="52"/>
      <c r="FP94" s="52"/>
      <c r="FQ94" s="52"/>
      <c r="FR94" s="52"/>
      <c r="FS94" s="52"/>
      <c r="FT94" s="52"/>
      <c r="FU94" s="52"/>
    </row>
    <row r="95" spans="1:177" ht="11.25" customHeight="1">
      <c r="A95" s="287"/>
      <c r="B95" s="127"/>
      <c r="C95" s="282"/>
      <c r="D95" s="35"/>
      <c r="E95" s="35"/>
      <c r="F95" s="279"/>
      <c r="G95" s="270"/>
      <c r="H95" s="736"/>
      <c r="I95" s="288"/>
      <c r="J95" s="99"/>
      <c r="K95" s="10" t="s">
        <v>163</v>
      </c>
      <c r="L95" s="148">
        <v>357.5</v>
      </c>
      <c r="M95" s="148">
        <v>589.6</v>
      </c>
      <c r="N95" s="148">
        <v>810.9</v>
      </c>
      <c r="O95" s="148">
        <v>647.9</v>
      </c>
      <c r="T95" s="93"/>
      <c r="U95" s="93"/>
      <c r="V95" s="93"/>
      <c r="W95" s="93"/>
      <c r="X95" s="93"/>
      <c r="Y95" s="93"/>
      <c r="Z95" s="93"/>
      <c r="AA95" s="93"/>
      <c r="AB95" s="93"/>
      <c r="AC95" s="93"/>
      <c r="AD95" s="93"/>
      <c r="AE95" s="158"/>
      <c r="AF95" s="158"/>
      <c r="AG95" s="158"/>
      <c r="AH95" s="158"/>
      <c r="AI95" s="158"/>
      <c r="AJ95" s="158"/>
      <c r="AK95" s="158"/>
      <c r="AL95" s="158"/>
      <c r="AM95" s="158"/>
      <c r="AN95" s="158"/>
      <c r="AZ95" s="52"/>
      <c r="BA95" s="52"/>
      <c r="BB95" s="52"/>
      <c r="BC95" s="52"/>
      <c r="BD95" s="52"/>
      <c r="BE95" s="52"/>
      <c r="BF95" s="52"/>
      <c r="BG95" s="52"/>
      <c r="BH95" s="52"/>
      <c r="BI95" s="52"/>
      <c r="BJ95" s="52"/>
      <c r="BK95" s="52"/>
      <c r="BL95" s="52"/>
      <c r="BM95" s="52"/>
      <c r="BN95" s="52"/>
      <c r="BO95" s="52"/>
      <c r="BP95" s="52"/>
      <c r="BQ95" s="52"/>
      <c r="BR95" s="52"/>
      <c r="BS95" s="52"/>
      <c r="BT95" s="52"/>
      <c r="BU95" s="52"/>
      <c r="BV95" s="52"/>
      <c r="BW95" s="52"/>
      <c r="BX95" s="52"/>
      <c r="BY95" s="52"/>
      <c r="BZ95" s="52"/>
      <c r="CA95" s="52"/>
      <c r="CB95" s="52"/>
      <c r="CC95" s="52"/>
      <c r="CD95" s="52"/>
      <c r="CE95" s="52"/>
      <c r="CF95" s="52"/>
      <c r="CG95" s="52"/>
      <c r="CH95" s="52"/>
      <c r="CI95" s="52"/>
      <c r="CJ95" s="52"/>
      <c r="CK95" s="52"/>
      <c r="CL95" s="52"/>
      <c r="CM95" s="52"/>
      <c r="CN95" s="52"/>
      <c r="CO95" s="52"/>
      <c r="CP95" s="52"/>
      <c r="CQ95" s="52"/>
      <c r="CR95" s="52"/>
      <c r="CS95" s="52"/>
      <c r="CT95" s="52"/>
      <c r="CU95" s="52"/>
      <c r="CV95" s="52"/>
      <c r="CW95" s="52"/>
      <c r="CX95" s="52"/>
      <c r="CY95" s="52"/>
      <c r="CZ95" s="52"/>
      <c r="DA95" s="52"/>
      <c r="DB95" s="52"/>
      <c r="DC95" s="52"/>
      <c r="DD95" s="52"/>
      <c r="DE95" s="52"/>
      <c r="DF95" s="52"/>
      <c r="DG95" s="52"/>
      <c r="DH95" s="52"/>
      <c r="DI95" s="52"/>
      <c r="DJ95" s="52"/>
      <c r="DK95" s="52"/>
      <c r="DL95" s="52"/>
      <c r="DM95" s="52"/>
      <c r="DN95" s="52"/>
      <c r="DO95" s="52"/>
      <c r="DP95" s="52"/>
      <c r="DQ95" s="52"/>
      <c r="DR95" s="52"/>
      <c r="DS95" s="52"/>
      <c r="DT95" s="52"/>
      <c r="DU95" s="52"/>
      <c r="DV95" s="52"/>
      <c r="DW95" s="52"/>
      <c r="DX95" s="52"/>
      <c r="DY95" s="52"/>
      <c r="DZ95" s="52"/>
      <c r="EA95" s="52"/>
      <c r="EB95" s="52"/>
      <c r="EC95" s="52"/>
      <c r="ED95" s="52"/>
      <c r="EE95" s="52"/>
      <c r="EF95" s="52"/>
      <c r="EG95" s="52"/>
      <c r="EH95" s="52"/>
      <c r="EI95" s="52"/>
      <c r="EJ95" s="52"/>
      <c r="EK95" s="52"/>
      <c r="EL95" s="52"/>
      <c r="EM95" s="52"/>
      <c r="EN95" s="52"/>
      <c r="EO95" s="52"/>
      <c r="EP95" s="52"/>
      <c r="EQ95" s="52"/>
      <c r="ER95" s="52"/>
      <c r="ES95" s="52"/>
      <c r="ET95" s="52"/>
      <c r="EU95" s="52"/>
      <c r="EV95" s="52"/>
      <c r="EW95" s="52"/>
      <c r="EX95" s="52"/>
      <c r="EY95" s="52"/>
      <c r="EZ95" s="52"/>
      <c r="FA95" s="52"/>
      <c r="FB95" s="52"/>
      <c r="FC95" s="52"/>
      <c r="FD95" s="52"/>
      <c r="FE95" s="52"/>
      <c r="FF95" s="52"/>
      <c r="FG95" s="52"/>
      <c r="FH95" s="52"/>
      <c r="FI95" s="52"/>
      <c r="FJ95" s="52"/>
      <c r="FK95" s="52"/>
      <c r="FL95" s="52"/>
      <c r="FM95" s="52"/>
      <c r="FN95" s="52"/>
      <c r="FO95" s="52"/>
      <c r="FP95" s="52"/>
      <c r="FQ95" s="52"/>
      <c r="FR95" s="52"/>
      <c r="FS95" s="52"/>
      <c r="FT95" s="52"/>
      <c r="FU95" s="52"/>
    </row>
    <row r="96" spans="1:177" ht="11.25" customHeight="1">
      <c r="A96" s="287"/>
      <c r="B96" s="293" t="s">
        <v>172</v>
      </c>
      <c r="C96" s="294"/>
      <c r="D96" s="295"/>
      <c r="E96" s="295"/>
      <c r="F96" s="296"/>
      <c r="G96" s="297"/>
      <c r="H96" s="743"/>
      <c r="I96" s="288"/>
      <c r="J96" s="99"/>
      <c r="K96" s="93"/>
      <c r="L96" s="93"/>
      <c r="M96" s="93"/>
      <c r="N96" s="93"/>
      <c r="O96" s="93"/>
      <c r="P96" s="93"/>
      <c r="Q96" s="93"/>
      <c r="R96" s="93"/>
      <c r="S96" s="93"/>
      <c r="T96" s="93"/>
      <c r="U96" s="93"/>
      <c r="V96" s="93"/>
      <c r="W96" s="93"/>
      <c r="X96" s="93"/>
      <c r="Y96" s="93"/>
      <c r="Z96" s="93"/>
      <c r="AA96" s="93"/>
      <c r="AB96" s="93"/>
      <c r="AC96" s="93"/>
      <c r="AD96" s="93"/>
      <c r="AE96" s="158"/>
      <c r="AF96" s="158"/>
      <c r="AG96" s="158"/>
      <c r="AH96" s="158"/>
      <c r="AI96" s="158"/>
      <c r="AJ96" s="158"/>
      <c r="AK96" s="158"/>
      <c r="AL96" s="158"/>
      <c r="AM96" s="158"/>
      <c r="AN96" s="158"/>
      <c r="AZ96" s="52"/>
      <c r="BA96" s="52"/>
      <c r="BB96" s="52"/>
      <c r="BC96" s="52"/>
      <c r="BD96" s="52"/>
      <c r="BE96" s="52"/>
      <c r="BF96" s="52"/>
      <c r="BG96" s="52"/>
      <c r="BH96" s="52"/>
      <c r="BI96" s="52"/>
      <c r="BJ96" s="52"/>
      <c r="BK96" s="52"/>
      <c r="BL96" s="52"/>
      <c r="BM96" s="52"/>
      <c r="BN96" s="52"/>
      <c r="BO96" s="52"/>
      <c r="BP96" s="52"/>
      <c r="BQ96" s="52"/>
      <c r="BR96" s="52"/>
      <c r="BS96" s="52"/>
      <c r="BT96" s="52"/>
      <c r="BU96" s="52"/>
      <c r="BV96" s="52"/>
      <c r="BW96" s="52"/>
      <c r="BX96" s="52"/>
      <c r="BY96" s="52"/>
      <c r="BZ96" s="52"/>
      <c r="CA96" s="52"/>
      <c r="CB96" s="52"/>
      <c r="CC96" s="52"/>
      <c r="CD96" s="52"/>
      <c r="CE96" s="52"/>
      <c r="CF96" s="52"/>
      <c r="CG96" s="52"/>
      <c r="CH96" s="52"/>
      <c r="CI96" s="52"/>
      <c r="CJ96" s="52"/>
      <c r="CK96" s="52"/>
      <c r="CL96" s="52"/>
      <c r="CM96" s="52"/>
      <c r="CN96" s="52"/>
      <c r="CO96" s="52"/>
      <c r="CP96" s="52"/>
      <c r="CQ96" s="52"/>
      <c r="CR96" s="52"/>
      <c r="CS96" s="52"/>
      <c r="CT96" s="52"/>
      <c r="CU96" s="52"/>
      <c r="CV96" s="52"/>
      <c r="CW96" s="52"/>
      <c r="CX96" s="52"/>
      <c r="CY96" s="52"/>
      <c r="CZ96" s="52"/>
      <c r="DA96" s="52"/>
      <c r="DB96" s="52"/>
      <c r="DC96" s="52"/>
      <c r="DD96" s="52"/>
      <c r="DE96" s="52"/>
      <c r="DF96" s="52"/>
      <c r="DG96" s="52"/>
      <c r="DH96" s="52"/>
      <c r="DI96" s="52"/>
      <c r="DJ96" s="52"/>
      <c r="DK96" s="52"/>
      <c r="DL96" s="52"/>
      <c r="DM96" s="52"/>
      <c r="DN96" s="52"/>
      <c r="DO96" s="52"/>
      <c r="DP96" s="52"/>
      <c r="DQ96" s="52"/>
      <c r="DR96" s="52"/>
      <c r="DS96" s="52"/>
      <c r="DT96" s="52"/>
      <c r="DU96" s="52"/>
      <c r="DV96" s="52"/>
      <c r="DW96" s="52"/>
      <c r="DX96" s="52"/>
      <c r="DY96" s="52"/>
      <c r="DZ96" s="52"/>
      <c r="EA96" s="52"/>
      <c r="EB96" s="52"/>
      <c r="EC96" s="52"/>
      <c r="ED96" s="52"/>
      <c r="EE96" s="52"/>
      <c r="EF96" s="52"/>
      <c r="EG96" s="52"/>
      <c r="EH96" s="52"/>
      <c r="EI96" s="52"/>
      <c r="EJ96" s="52"/>
      <c r="EK96" s="52"/>
      <c r="EL96" s="52"/>
      <c r="EM96" s="52"/>
      <c r="EN96" s="52"/>
      <c r="EO96" s="52"/>
      <c r="EP96" s="52"/>
      <c r="EQ96" s="52"/>
      <c r="ER96" s="52"/>
      <c r="ES96" s="52"/>
      <c r="ET96" s="52"/>
      <c r="EU96" s="52"/>
      <c r="EV96" s="52"/>
      <c r="EW96" s="52"/>
      <c r="EX96" s="52"/>
      <c r="EY96" s="52"/>
      <c r="EZ96" s="52"/>
      <c r="FA96" s="52"/>
      <c r="FB96" s="52"/>
      <c r="FC96" s="52"/>
      <c r="FD96" s="52"/>
      <c r="FE96" s="52"/>
      <c r="FF96" s="52"/>
      <c r="FG96" s="52"/>
      <c r="FH96" s="52"/>
      <c r="FI96" s="52"/>
      <c r="FJ96" s="52"/>
      <c r="FK96" s="52"/>
      <c r="FL96" s="52"/>
      <c r="FM96" s="52"/>
      <c r="FN96" s="52"/>
      <c r="FO96" s="52"/>
      <c r="FP96" s="52"/>
      <c r="FQ96" s="52"/>
      <c r="FR96" s="52"/>
      <c r="FS96" s="52"/>
      <c r="FT96" s="52"/>
      <c r="FU96" s="52"/>
    </row>
    <row r="97" spans="1:177" ht="11.25" customHeight="1">
      <c r="A97" s="287"/>
      <c r="B97" s="298" t="s">
        <v>170</v>
      </c>
      <c r="C97" s="294" t="s">
        <v>703</v>
      </c>
      <c r="D97" s="295" t="s">
        <v>702</v>
      </c>
      <c r="E97" s="295"/>
      <c r="F97" s="296" t="s">
        <v>336</v>
      </c>
      <c r="G97" s="297"/>
      <c r="H97" s="743">
        <f>0.07*0.6*'ET-luvun Laskenta'!D62*N54</f>
        <v>1103.76</v>
      </c>
      <c r="I97" s="288"/>
      <c r="J97" s="99"/>
      <c r="K97" s="10"/>
      <c r="L97" s="10"/>
      <c r="M97" s="93"/>
      <c r="N97" s="10"/>
      <c r="O97" s="10"/>
      <c r="P97" s="10"/>
      <c r="S97" s="93"/>
      <c r="T97" s="10"/>
      <c r="U97" s="93"/>
      <c r="V97" s="93"/>
      <c r="W97" s="93"/>
      <c r="X97" s="93"/>
      <c r="Y97" s="93"/>
      <c r="Z97" s="93"/>
      <c r="AA97" s="93"/>
      <c r="AB97" s="93"/>
      <c r="AC97" s="93"/>
      <c r="AD97" s="93"/>
      <c r="AE97" s="93"/>
      <c r="AF97" s="93"/>
      <c r="AG97" s="93"/>
      <c r="AH97" s="93"/>
      <c r="AI97" s="93"/>
      <c r="AJ97" s="93"/>
      <c r="AK97" s="93"/>
      <c r="AL97" s="93"/>
      <c r="AM97" s="93"/>
      <c r="AN97" s="93"/>
      <c r="AO97" s="158"/>
      <c r="AP97" s="447" t="s">
        <v>716</v>
      </c>
      <c r="AQ97" s="447"/>
      <c r="AR97" s="447"/>
      <c r="AS97" s="447"/>
      <c r="AT97" s="13"/>
      <c r="AU97" s="13"/>
      <c r="AV97" s="52"/>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c r="BU97" s="52"/>
      <c r="BV97" s="52"/>
      <c r="BW97" s="52"/>
      <c r="BX97" s="52"/>
      <c r="BY97" s="52"/>
      <c r="BZ97" s="52"/>
      <c r="CA97" s="52"/>
      <c r="CB97" s="52"/>
      <c r="CC97" s="52"/>
      <c r="CD97" s="52"/>
      <c r="CE97" s="52"/>
      <c r="CF97" s="52"/>
      <c r="CG97" s="52"/>
      <c r="CH97" s="52"/>
      <c r="CI97" s="52"/>
      <c r="CJ97" s="52"/>
      <c r="CK97" s="52"/>
      <c r="CL97" s="52"/>
      <c r="CM97" s="52"/>
      <c r="CN97" s="52"/>
      <c r="CO97" s="52"/>
      <c r="CP97" s="52"/>
      <c r="CQ97" s="52"/>
      <c r="CR97" s="52"/>
      <c r="CS97" s="52"/>
      <c r="CT97" s="52"/>
      <c r="CU97" s="52"/>
      <c r="CV97" s="52"/>
      <c r="CW97" s="52"/>
      <c r="CX97" s="52"/>
      <c r="CY97" s="52"/>
      <c r="CZ97" s="52"/>
      <c r="DA97" s="52"/>
      <c r="DB97" s="52"/>
      <c r="DC97" s="52"/>
      <c r="DD97" s="52"/>
      <c r="DE97" s="52"/>
      <c r="DF97" s="52"/>
      <c r="DG97" s="52"/>
      <c r="DH97" s="52"/>
      <c r="DI97" s="52"/>
      <c r="DJ97" s="52"/>
      <c r="DK97" s="52"/>
      <c r="DL97" s="52"/>
      <c r="DM97" s="52"/>
      <c r="DN97" s="52"/>
      <c r="DO97" s="52"/>
      <c r="DP97" s="52"/>
      <c r="DQ97" s="52"/>
      <c r="DR97" s="52"/>
      <c r="DS97" s="52"/>
      <c r="DT97" s="52"/>
      <c r="DU97" s="52"/>
      <c r="DV97" s="52"/>
      <c r="DW97" s="52"/>
      <c r="DX97" s="52"/>
      <c r="DY97" s="52"/>
      <c r="DZ97" s="52"/>
      <c r="EA97" s="52"/>
      <c r="EB97" s="52"/>
      <c r="EC97" s="52"/>
      <c r="ED97" s="52"/>
      <c r="EE97" s="52"/>
      <c r="EF97" s="52"/>
      <c r="EG97" s="52"/>
      <c r="EH97" s="52"/>
      <c r="EI97" s="52"/>
      <c r="EJ97" s="52"/>
      <c r="EK97" s="52"/>
      <c r="EL97" s="52"/>
      <c r="EM97" s="52"/>
      <c r="EN97" s="52"/>
      <c r="EO97" s="52"/>
      <c r="EP97" s="52"/>
      <c r="EQ97" s="52"/>
      <c r="ER97" s="52"/>
      <c r="ES97" s="52"/>
      <c r="ET97" s="52"/>
      <c r="EU97" s="52"/>
      <c r="EV97" s="52"/>
      <c r="EW97" s="52"/>
      <c r="EX97" s="52"/>
      <c r="EY97" s="52"/>
      <c r="EZ97" s="52"/>
      <c r="FA97" s="52"/>
      <c r="FB97" s="52"/>
      <c r="FC97" s="52"/>
      <c r="FD97" s="52"/>
      <c r="FE97" s="52"/>
      <c r="FF97" s="52"/>
      <c r="FG97" s="52"/>
      <c r="FH97" s="52"/>
      <c r="FI97" s="52"/>
      <c r="FJ97" s="52"/>
      <c r="FK97" s="52"/>
      <c r="FL97" s="52"/>
      <c r="FM97" s="52"/>
      <c r="FN97" s="52"/>
      <c r="FO97" s="52"/>
      <c r="FP97" s="52"/>
      <c r="FQ97" s="52"/>
      <c r="FR97" s="52"/>
      <c r="FS97" s="52"/>
      <c r="FT97" s="52"/>
      <c r="FU97" s="52"/>
    </row>
    <row r="98" spans="1:177" ht="11.25" customHeight="1">
      <c r="A98" s="287"/>
      <c r="B98" s="298" t="s">
        <v>164</v>
      </c>
      <c r="C98" s="294"/>
      <c r="D98" s="295" t="s">
        <v>212</v>
      </c>
      <c r="E98" s="295"/>
      <c r="F98" s="296"/>
      <c r="G98" s="297"/>
      <c r="H98" s="743">
        <f>0.7*(H88+H89)</f>
        <v>3500</v>
      </c>
      <c r="I98" s="299"/>
      <c r="J98" s="826"/>
      <c r="K98" s="13"/>
      <c r="L98" s="13"/>
      <c r="M98" s="175"/>
      <c r="N98" s="13"/>
      <c r="O98" s="13"/>
      <c r="P98" s="13"/>
      <c r="Q98" s="13"/>
      <c r="R98" s="13"/>
      <c r="S98" s="175"/>
      <c r="T98" s="93"/>
      <c r="U98" s="277" t="s">
        <v>19</v>
      </c>
      <c r="V98" s="25"/>
      <c r="W98" s="25"/>
      <c r="X98" s="25"/>
      <c r="Y98" s="300"/>
      <c r="Z98" s="300"/>
      <c r="AA98" s="300"/>
      <c r="AB98" s="25" t="s">
        <v>279</v>
      </c>
      <c r="AC98" s="278" t="s">
        <v>224</v>
      </c>
      <c r="AD98" s="93"/>
      <c r="AE98" s="93"/>
      <c r="AF98" s="93"/>
      <c r="AG98" s="93"/>
      <c r="AH98" s="93"/>
      <c r="AI98" s="93"/>
      <c r="AJ98" s="93"/>
      <c r="AK98" s="93"/>
      <c r="AL98" s="93"/>
      <c r="AM98" s="93"/>
      <c r="AN98" s="93"/>
      <c r="AO98" s="158"/>
      <c r="AP98" s="447"/>
      <c r="AQ98" s="447"/>
      <c r="AR98" s="447"/>
      <c r="AS98" s="447"/>
      <c r="AT98" s="13"/>
      <c r="AU98" s="52"/>
      <c r="AV98" s="52"/>
      <c r="AW98" s="52"/>
      <c r="AX98" s="52"/>
      <c r="AY98" s="52"/>
      <c r="AZ98" s="52"/>
      <c r="BA98" s="52"/>
      <c r="BB98" s="52"/>
      <c r="BC98" s="52"/>
      <c r="BD98" s="52"/>
      <c r="BE98" s="52"/>
      <c r="BF98" s="52"/>
      <c r="BG98" s="52"/>
      <c r="BH98" s="52"/>
      <c r="BI98" s="52"/>
      <c r="BJ98" s="52"/>
      <c r="BK98" s="52"/>
      <c r="BL98" s="52"/>
      <c r="BM98" s="52"/>
      <c r="BN98" s="52"/>
      <c r="BO98" s="52"/>
      <c r="BP98" s="52"/>
      <c r="BQ98" s="52"/>
      <c r="BR98" s="52"/>
      <c r="BS98" s="52"/>
      <c r="BT98" s="52"/>
      <c r="BU98" s="52"/>
      <c r="BV98" s="52"/>
      <c r="BW98" s="52"/>
      <c r="BX98" s="52"/>
      <c r="BY98" s="52"/>
      <c r="BZ98" s="52"/>
      <c r="CA98" s="52"/>
      <c r="CB98" s="52"/>
      <c r="CC98" s="52"/>
      <c r="CD98" s="52"/>
      <c r="CE98" s="52"/>
      <c r="CF98" s="52"/>
      <c r="CG98" s="52"/>
      <c r="CH98" s="52"/>
      <c r="CI98" s="52"/>
      <c r="CJ98" s="52"/>
      <c r="CK98" s="52"/>
      <c r="CL98" s="52"/>
      <c r="CM98" s="52"/>
      <c r="CN98" s="52"/>
      <c r="CO98" s="52"/>
      <c r="CP98" s="52"/>
      <c r="CQ98" s="52"/>
      <c r="CR98" s="52"/>
      <c r="CS98" s="52"/>
      <c r="CT98" s="52"/>
      <c r="CU98" s="52"/>
      <c r="CV98" s="52"/>
      <c r="CW98" s="52"/>
      <c r="CX98" s="52"/>
      <c r="CY98" s="52"/>
      <c r="CZ98" s="52"/>
      <c r="DA98" s="52"/>
      <c r="DB98" s="52"/>
      <c r="DC98" s="52"/>
      <c r="DD98" s="52"/>
      <c r="DE98" s="52"/>
      <c r="DF98" s="52"/>
      <c r="DG98" s="52"/>
      <c r="DH98" s="52"/>
      <c r="DI98" s="52"/>
      <c r="DJ98" s="52"/>
      <c r="DK98" s="52"/>
      <c r="DL98" s="52"/>
      <c r="DM98" s="52"/>
      <c r="DN98" s="52"/>
      <c r="DO98" s="52"/>
      <c r="DP98" s="52"/>
      <c r="DQ98" s="52"/>
      <c r="DR98" s="52"/>
      <c r="DS98" s="52"/>
      <c r="DT98" s="52"/>
      <c r="DU98" s="52"/>
      <c r="DV98" s="52"/>
      <c r="DW98" s="52"/>
      <c r="DX98" s="52"/>
      <c r="DY98" s="52"/>
      <c r="DZ98" s="52"/>
      <c r="EA98" s="52"/>
      <c r="EB98" s="52"/>
      <c r="EC98" s="52"/>
      <c r="ED98" s="52"/>
      <c r="EE98" s="52"/>
      <c r="EF98" s="52"/>
      <c r="EG98" s="52"/>
      <c r="EH98" s="52"/>
      <c r="EI98" s="52"/>
      <c r="EJ98" s="52"/>
      <c r="EK98" s="52"/>
      <c r="EL98" s="52"/>
      <c r="EM98" s="52"/>
      <c r="EN98" s="52"/>
      <c r="EO98" s="52"/>
      <c r="EP98" s="52"/>
      <c r="EQ98" s="52"/>
      <c r="ER98" s="52"/>
      <c r="ES98" s="52"/>
      <c r="ET98" s="52"/>
      <c r="EU98" s="52"/>
      <c r="EV98" s="52"/>
      <c r="EW98" s="52"/>
      <c r="EX98" s="52"/>
      <c r="EY98" s="52"/>
      <c r="EZ98" s="52"/>
      <c r="FA98" s="52"/>
      <c r="FB98" s="52"/>
      <c r="FC98" s="52"/>
      <c r="FD98" s="52"/>
      <c r="FE98" s="52"/>
      <c r="FF98" s="52"/>
      <c r="FG98" s="52"/>
      <c r="FH98" s="52"/>
      <c r="FI98" s="52"/>
      <c r="FJ98" s="52"/>
      <c r="FK98" s="52"/>
      <c r="FL98" s="52"/>
      <c r="FM98" s="52"/>
      <c r="FN98" s="52"/>
      <c r="FO98" s="52"/>
      <c r="FP98" s="52"/>
      <c r="FQ98" s="52"/>
      <c r="FR98" s="52"/>
      <c r="FS98" s="52"/>
      <c r="FT98" s="52"/>
      <c r="FU98" s="52"/>
    </row>
    <row r="99" spans="1:177" ht="11.25" customHeight="1">
      <c r="A99" s="287"/>
      <c r="B99" s="298" t="s">
        <v>263</v>
      </c>
      <c r="C99" s="294"/>
      <c r="D99" s="295" t="s">
        <v>211</v>
      </c>
      <c r="E99" s="295"/>
      <c r="F99" s="296"/>
      <c r="G99" s="297"/>
      <c r="H99" s="743">
        <f>0.3*H85+0.5*(H91+H92+H90)</f>
        <v>2458.07025</v>
      </c>
      <c r="I99" s="288"/>
      <c r="J99" s="88"/>
      <c r="K99" s="13"/>
      <c r="L99" s="13" t="s">
        <v>54</v>
      </c>
      <c r="M99" s="13"/>
      <c r="N99" s="276" t="s">
        <v>265</v>
      </c>
      <c r="O99" s="158"/>
      <c r="P99" s="93"/>
      <c r="R99" s="13"/>
      <c r="S99" s="175"/>
      <c r="T99" s="93"/>
      <c r="U99" s="93"/>
      <c r="V99" s="93"/>
      <c r="W99" s="93"/>
      <c r="X99" s="93"/>
      <c r="Y99" s="93"/>
      <c r="Z99" s="93"/>
      <c r="AA99" s="93"/>
      <c r="AB99" s="93"/>
      <c r="AC99" s="93"/>
      <c r="AD99" s="93"/>
      <c r="AE99" s="93"/>
      <c r="AF99" s="93"/>
      <c r="AG99" s="93"/>
      <c r="AH99" s="93"/>
      <c r="AI99" s="93"/>
      <c r="AJ99" s="93"/>
      <c r="AK99" s="93"/>
      <c r="AL99" s="93"/>
      <c r="AM99" s="93"/>
      <c r="AN99" s="93"/>
      <c r="AO99" s="93"/>
      <c r="AP99" s="447"/>
      <c r="AQ99" s="447"/>
      <c r="AR99" s="447"/>
      <c r="AS99" s="447"/>
      <c r="AT99" s="13"/>
      <c r="AU99" s="52"/>
      <c r="AV99" s="52"/>
      <c r="AW99" s="52"/>
      <c r="AX99" s="52"/>
      <c r="AY99" s="52"/>
      <c r="AZ99" s="52"/>
      <c r="BA99" s="52"/>
      <c r="BB99" s="52"/>
      <c r="BC99" s="52"/>
      <c r="BD99" s="52"/>
      <c r="BE99" s="52"/>
      <c r="BF99" s="52"/>
      <c r="BG99" s="52"/>
      <c r="BH99" s="52"/>
      <c r="BI99" s="52"/>
      <c r="BJ99" s="52"/>
      <c r="BK99" s="52"/>
      <c r="BL99" s="52"/>
      <c r="BM99" s="52"/>
      <c r="BN99" s="52"/>
      <c r="BO99" s="52"/>
      <c r="BP99" s="52"/>
      <c r="BQ99" s="52"/>
      <c r="BR99" s="52"/>
      <c r="BS99" s="52"/>
      <c r="BT99" s="52"/>
      <c r="BU99" s="52"/>
      <c r="BV99" s="52"/>
      <c r="BW99" s="52"/>
      <c r="BX99" s="52"/>
      <c r="BY99" s="52"/>
      <c r="BZ99" s="52"/>
      <c r="CA99" s="52"/>
      <c r="CB99" s="52"/>
      <c r="CC99" s="52"/>
      <c r="CD99" s="52"/>
      <c r="CE99" s="52"/>
      <c r="CF99" s="52"/>
      <c r="CG99" s="52"/>
      <c r="CH99" s="52"/>
      <c r="CI99" s="52"/>
      <c r="CJ99" s="52"/>
      <c r="CK99" s="52"/>
      <c r="CL99" s="52"/>
      <c r="CM99" s="52"/>
      <c r="CN99" s="52"/>
      <c r="CO99" s="52"/>
      <c r="CP99" s="52"/>
      <c r="CQ99" s="52"/>
      <c r="CR99" s="52"/>
      <c r="CS99" s="52"/>
      <c r="CT99" s="52"/>
      <c r="CU99" s="52"/>
      <c r="CV99" s="52"/>
      <c r="CW99" s="52"/>
      <c r="CX99" s="52"/>
      <c r="CY99" s="52"/>
      <c r="CZ99" s="52"/>
      <c r="DA99" s="52"/>
      <c r="DB99" s="52"/>
      <c r="DC99" s="52"/>
      <c r="DD99" s="52"/>
      <c r="DE99" s="52"/>
      <c r="DF99" s="52"/>
      <c r="DG99" s="52"/>
      <c r="DH99" s="52"/>
      <c r="DI99" s="52"/>
      <c r="DJ99" s="52"/>
      <c r="DK99" s="52"/>
      <c r="DL99" s="52"/>
      <c r="DM99" s="52"/>
      <c r="DN99" s="52"/>
      <c r="DO99" s="52"/>
      <c r="DP99" s="52"/>
      <c r="DQ99" s="52"/>
      <c r="DR99" s="52"/>
      <c r="DS99" s="52"/>
      <c r="DT99" s="52"/>
      <c r="DU99" s="52"/>
      <c r="DV99" s="52"/>
      <c r="DW99" s="52"/>
      <c r="DX99" s="52"/>
      <c r="DY99" s="52"/>
      <c r="DZ99" s="52"/>
      <c r="EA99" s="52"/>
      <c r="EB99" s="52"/>
      <c r="EC99" s="52"/>
      <c r="ED99" s="52"/>
      <c r="EE99" s="52"/>
      <c r="EF99" s="52"/>
      <c r="EG99" s="52"/>
      <c r="EH99" s="52"/>
      <c r="EI99" s="52"/>
      <c r="EJ99" s="52"/>
      <c r="EK99" s="52"/>
      <c r="EL99" s="52"/>
      <c r="EM99" s="52"/>
      <c r="EN99" s="52"/>
      <c r="EO99" s="52"/>
      <c r="EP99" s="52"/>
      <c r="EQ99" s="52"/>
      <c r="ER99" s="52"/>
      <c r="ES99" s="52"/>
      <c r="ET99" s="52"/>
      <c r="EU99" s="52"/>
      <c r="EV99" s="52"/>
      <c r="EW99" s="52"/>
      <c r="EX99" s="52"/>
      <c r="EY99" s="52"/>
      <c r="EZ99" s="52"/>
      <c r="FA99" s="52"/>
      <c r="FB99" s="52"/>
      <c r="FC99" s="52"/>
      <c r="FD99" s="52"/>
      <c r="FE99" s="52"/>
      <c r="FF99" s="52"/>
      <c r="FG99" s="52"/>
      <c r="FH99" s="52"/>
      <c r="FI99" s="52"/>
      <c r="FJ99" s="52"/>
      <c r="FK99" s="52"/>
      <c r="FL99" s="52"/>
      <c r="FM99" s="52"/>
      <c r="FN99" s="52"/>
      <c r="FO99" s="52"/>
      <c r="FP99" s="52"/>
      <c r="FQ99" s="52"/>
      <c r="FR99" s="52"/>
      <c r="FS99" s="52"/>
      <c r="FT99" s="52"/>
      <c r="FU99" s="52"/>
    </row>
    <row r="100" spans="1:177" ht="11.25" customHeight="1">
      <c r="A100" s="287"/>
      <c r="B100" s="298" t="s">
        <v>171</v>
      </c>
      <c r="C100" s="294" t="s">
        <v>173</v>
      </c>
      <c r="D100" s="295" t="s">
        <v>264</v>
      </c>
      <c r="E100" s="295"/>
      <c r="F100" s="296"/>
      <c r="G100" s="297"/>
      <c r="H100" s="743">
        <f>32*'ET-luvun Laskenta'!C28</f>
        <v>6400</v>
      </c>
      <c r="I100" s="288"/>
      <c r="J100" s="88"/>
      <c r="K100" s="13"/>
      <c r="L100" s="167" t="s">
        <v>55</v>
      </c>
      <c r="M100" s="13"/>
      <c r="N100" s="158" t="s">
        <v>215</v>
      </c>
      <c r="O100" s="158" t="s">
        <v>219</v>
      </c>
      <c r="P100" s="158" t="s">
        <v>218</v>
      </c>
      <c r="Q100" s="158" t="s">
        <v>221</v>
      </c>
      <c r="R100" s="13"/>
      <c r="S100" s="175"/>
      <c r="T100" s="93"/>
      <c r="U100" s="166" t="s">
        <v>529</v>
      </c>
      <c r="V100" s="13"/>
      <c r="W100" s="13"/>
      <c r="X100" s="13"/>
      <c r="Y100" s="754">
        <f>'ET-luvun Laskenta'!AC100</f>
        <v>1</v>
      </c>
      <c r="Z100" s="97"/>
      <c r="AA100" s="97"/>
      <c r="AB100" s="239"/>
      <c r="AC100" s="97"/>
      <c r="AD100" s="93"/>
      <c r="AE100" s="93"/>
      <c r="AF100" s="93"/>
      <c r="AG100" s="93"/>
      <c r="AH100" s="93"/>
      <c r="AI100" s="93"/>
      <c r="AJ100" s="93"/>
      <c r="AK100" s="93"/>
      <c r="AL100" s="93"/>
      <c r="AM100" s="93"/>
      <c r="AN100" s="93"/>
      <c r="AO100" s="93"/>
      <c r="AP100" s="447" t="s">
        <v>727</v>
      </c>
      <c r="AQ100" s="447"/>
      <c r="AR100" s="447"/>
      <c r="AS100" s="447"/>
      <c r="AT100" s="13"/>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52"/>
      <c r="BS100" s="52"/>
      <c r="BT100" s="52"/>
      <c r="BU100" s="52"/>
      <c r="BV100" s="52"/>
      <c r="BW100" s="52"/>
      <c r="BX100" s="52"/>
      <c r="BY100" s="52"/>
      <c r="BZ100" s="52"/>
      <c r="CA100" s="52"/>
      <c r="CB100" s="52"/>
      <c r="CC100" s="52"/>
      <c r="CD100" s="52"/>
      <c r="CE100" s="52"/>
      <c r="CF100" s="52"/>
      <c r="CG100" s="52"/>
      <c r="CH100" s="52"/>
      <c r="CI100" s="52"/>
      <c r="CJ100" s="52"/>
      <c r="CK100" s="52"/>
      <c r="CL100" s="52"/>
      <c r="CM100" s="52"/>
      <c r="CN100" s="52"/>
      <c r="CO100" s="52"/>
      <c r="CP100" s="52"/>
      <c r="CQ100" s="52"/>
      <c r="CR100" s="52"/>
      <c r="CS100" s="52"/>
      <c r="CT100" s="52"/>
      <c r="CU100" s="52"/>
      <c r="CV100" s="52"/>
      <c r="CW100" s="52"/>
      <c r="CX100" s="52"/>
      <c r="CY100" s="52"/>
      <c r="CZ100" s="52"/>
      <c r="DA100" s="52"/>
      <c r="DB100" s="52"/>
      <c r="DC100" s="52"/>
      <c r="DD100" s="52"/>
      <c r="DE100" s="52"/>
      <c r="DF100" s="52"/>
      <c r="DG100" s="52"/>
      <c r="DH100" s="52"/>
      <c r="DI100" s="52"/>
      <c r="DJ100" s="52"/>
      <c r="DK100" s="52"/>
      <c r="DL100" s="52"/>
      <c r="DM100" s="52"/>
      <c r="DN100" s="52"/>
      <c r="DO100" s="52"/>
      <c r="DP100" s="52"/>
      <c r="DQ100" s="52"/>
      <c r="DR100" s="52"/>
      <c r="DS100" s="52"/>
      <c r="DT100" s="52"/>
      <c r="DU100" s="52"/>
      <c r="DV100" s="52"/>
      <c r="DW100" s="52"/>
      <c r="DX100" s="52"/>
      <c r="DY100" s="52"/>
      <c r="DZ100" s="52"/>
      <c r="EA100" s="52"/>
      <c r="EB100" s="52"/>
      <c r="EC100" s="52"/>
      <c r="ED100" s="52"/>
      <c r="EE100" s="52"/>
      <c r="EF100" s="52"/>
      <c r="EG100" s="52"/>
      <c r="EH100" s="52"/>
      <c r="EI100" s="52"/>
      <c r="EJ100" s="52"/>
      <c r="EK100" s="52"/>
      <c r="EL100" s="52"/>
      <c r="EM100" s="52"/>
      <c r="EN100" s="52"/>
      <c r="EO100" s="52"/>
      <c r="EP100" s="52"/>
      <c r="EQ100" s="52"/>
      <c r="ER100" s="52"/>
      <c r="ES100" s="52"/>
      <c r="ET100" s="52"/>
      <c r="EU100" s="52"/>
      <c r="EV100" s="52"/>
      <c r="EW100" s="52"/>
      <c r="EX100" s="52"/>
      <c r="EY100" s="52"/>
      <c r="EZ100" s="52"/>
      <c r="FA100" s="52"/>
      <c r="FB100" s="52"/>
      <c r="FC100" s="52"/>
      <c r="FD100" s="52"/>
      <c r="FE100" s="52"/>
      <c r="FF100" s="52"/>
      <c r="FG100" s="52"/>
      <c r="FH100" s="52"/>
      <c r="FI100" s="52"/>
      <c r="FJ100" s="52"/>
      <c r="FK100" s="52"/>
      <c r="FL100" s="52"/>
      <c r="FM100" s="52"/>
      <c r="FN100" s="52"/>
      <c r="FO100" s="52"/>
      <c r="FP100" s="52"/>
      <c r="FQ100" s="52"/>
      <c r="FR100" s="52"/>
      <c r="FS100" s="52"/>
      <c r="FT100" s="52"/>
      <c r="FU100" s="52"/>
    </row>
    <row r="101" spans="1:177" ht="11.25" customHeight="1">
      <c r="A101" s="301"/>
      <c r="B101" s="298" t="s">
        <v>202</v>
      </c>
      <c r="C101" s="449"/>
      <c r="D101" s="228"/>
      <c r="E101" s="224"/>
      <c r="F101" s="93"/>
      <c r="G101" s="303"/>
      <c r="H101" s="304"/>
      <c r="I101" s="303"/>
      <c r="J101" s="110"/>
      <c r="K101" s="13"/>
      <c r="L101" s="167" t="s">
        <v>196</v>
      </c>
      <c r="M101" s="13"/>
      <c r="N101" s="280" t="s">
        <v>216</v>
      </c>
      <c r="O101" s="280" t="s">
        <v>217</v>
      </c>
      <c r="P101" s="158" t="s">
        <v>220</v>
      </c>
      <c r="Q101" s="280" t="s">
        <v>222</v>
      </c>
      <c r="R101" s="13"/>
      <c r="S101" s="175"/>
      <c r="T101" s="93"/>
      <c r="U101" s="13"/>
      <c r="V101" s="13" t="s">
        <v>256</v>
      </c>
      <c r="W101" s="13"/>
      <c r="X101" s="13"/>
      <c r="Y101" s="97"/>
      <c r="Z101" s="97">
        <f>Z92/Y100</f>
        <v>13962.69993958958</v>
      </c>
      <c r="AA101" s="98">
        <f>Z101/'ET-luvun Laskenta'!C28</f>
        <v>69.8134996979479</v>
      </c>
      <c r="AB101" s="239">
        <f>AB58</f>
        <v>0.10311330439903647</v>
      </c>
      <c r="AC101" s="97">
        <f>Z101*AB101</f>
        <v>1439.7401291033086</v>
      </c>
      <c r="AD101" s="93"/>
      <c r="AE101" s="93"/>
      <c r="AF101" s="93"/>
      <c r="AG101" s="93"/>
      <c r="AH101" s="93"/>
      <c r="AI101" s="93"/>
      <c r="AJ101" s="93"/>
      <c r="AK101" s="93"/>
      <c r="AL101" s="93"/>
      <c r="AM101" s="93"/>
      <c r="AN101" s="93"/>
      <c r="AO101" s="93"/>
      <c r="AP101" s="52" t="s">
        <v>14</v>
      </c>
      <c r="AQ101" s="52"/>
      <c r="AR101" s="447"/>
      <c r="AS101" s="447"/>
      <c r="AT101" s="13"/>
      <c r="AU101" s="111"/>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52"/>
      <c r="BU101" s="52"/>
      <c r="BV101" s="52"/>
      <c r="BW101" s="52"/>
      <c r="BX101" s="52"/>
      <c r="BY101" s="52"/>
      <c r="BZ101" s="52"/>
      <c r="CA101" s="52"/>
      <c r="CB101" s="52"/>
      <c r="CC101" s="52"/>
      <c r="CD101" s="52"/>
      <c r="CE101" s="52"/>
      <c r="CF101" s="52"/>
      <c r="CG101" s="52"/>
      <c r="CH101" s="52"/>
      <c r="CI101" s="52"/>
      <c r="CJ101" s="52"/>
      <c r="CK101" s="52"/>
      <c r="CL101" s="52"/>
      <c r="CM101" s="52"/>
      <c r="CN101" s="52"/>
      <c r="CO101" s="52"/>
      <c r="CP101" s="52"/>
      <c r="CQ101" s="52"/>
      <c r="CR101" s="52"/>
      <c r="CS101" s="52"/>
      <c r="CT101" s="52"/>
      <c r="CU101" s="52"/>
      <c r="CV101" s="52"/>
      <c r="CW101" s="52"/>
      <c r="CX101" s="52"/>
      <c r="CY101" s="52"/>
      <c r="CZ101" s="52"/>
      <c r="DA101" s="52"/>
      <c r="DB101" s="52"/>
      <c r="DC101" s="52"/>
      <c r="DD101" s="52"/>
      <c r="DE101" s="52"/>
      <c r="DF101" s="52"/>
      <c r="DG101" s="52"/>
      <c r="DH101" s="52"/>
      <c r="DI101" s="52"/>
      <c r="DJ101" s="52"/>
      <c r="DK101" s="52"/>
      <c r="DL101" s="52"/>
      <c r="DM101" s="52"/>
      <c r="DN101" s="52"/>
      <c r="DO101" s="52"/>
      <c r="DP101" s="52"/>
      <c r="DQ101" s="52"/>
      <c r="DR101" s="52"/>
      <c r="DS101" s="52"/>
      <c r="DT101" s="52"/>
      <c r="DU101" s="52"/>
      <c r="DV101" s="52"/>
      <c r="DW101" s="52"/>
      <c r="DX101" s="52"/>
      <c r="DY101" s="52"/>
      <c r="DZ101" s="52"/>
      <c r="EA101" s="52"/>
      <c r="EB101" s="52"/>
      <c r="EC101" s="52"/>
      <c r="ED101" s="52"/>
      <c r="EE101" s="52"/>
      <c r="EF101" s="52"/>
      <c r="EG101" s="52"/>
      <c r="EH101" s="52"/>
      <c r="EI101" s="52"/>
      <c r="EJ101" s="52"/>
      <c r="EK101" s="52"/>
      <c r="EL101" s="52"/>
      <c r="EM101" s="52"/>
      <c r="EN101" s="52"/>
      <c r="EO101" s="52"/>
      <c r="EP101" s="52"/>
      <c r="EQ101" s="52"/>
      <c r="ER101" s="52"/>
      <c r="ES101" s="52"/>
      <c r="ET101" s="52"/>
      <c r="EU101" s="52"/>
      <c r="EV101" s="52"/>
      <c r="EW101" s="52"/>
      <c r="EX101" s="52"/>
      <c r="EY101" s="52"/>
      <c r="EZ101" s="52"/>
      <c r="FA101" s="52"/>
      <c r="FB101" s="52"/>
      <c r="FC101" s="52"/>
      <c r="FD101" s="52"/>
      <c r="FE101" s="52"/>
      <c r="FF101" s="52"/>
      <c r="FG101" s="52"/>
      <c r="FH101" s="52"/>
      <c r="FI101" s="52"/>
      <c r="FJ101" s="52"/>
      <c r="FK101" s="52"/>
      <c r="FL101" s="52"/>
      <c r="FM101" s="52"/>
      <c r="FN101" s="52"/>
      <c r="FO101" s="52"/>
      <c r="FP101" s="52"/>
      <c r="FQ101" s="52"/>
      <c r="FR101" s="52"/>
      <c r="FS101" s="52"/>
      <c r="FT101" s="52"/>
      <c r="FU101" s="52"/>
    </row>
    <row r="102" spans="1:177" ht="11.25" customHeight="1">
      <c r="A102" s="287"/>
      <c r="B102" s="827"/>
      <c r="C102" s="70"/>
      <c r="D102" s="228"/>
      <c r="E102" s="224"/>
      <c r="F102" s="203"/>
      <c r="G102" s="745"/>
      <c r="H102" s="746"/>
      <c r="I102" s="745"/>
      <c r="J102" s="226"/>
      <c r="K102" s="13"/>
      <c r="L102" s="13"/>
      <c r="M102" s="13"/>
      <c r="N102" s="158"/>
      <c r="O102" s="158"/>
      <c r="P102" s="158"/>
      <c r="Q102" s="158"/>
      <c r="R102" s="13"/>
      <c r="S102" s="175"/>
      <c r="T102" s="203"/>
      <c r="U102" s="13"/>
      <c r="V102" s="13" t="s">
        <v>339</v>
      </c>
      <c r="W102" s="13"/>
      <c r="X102" s="13"/>
      <c r="Y102" s="97"/>
      <c r="Z102" s="97">
        <f>S31</f>
        <v>10000.000000000002</v>
      </c>
      <c r="AA102" s="98">
        <f>Z102/'ET-luvun Laskenta'!C28</f>
        <v>50.00000000000001</v>
      </c>
      <c r="AB102" s="239">
        <f>AB101</f>
        <v>0.10311330439903647</v>
      </c>
      <c r="AC102" s="97">
        <f>Z102*AB102</f>
        <v>1031.133043990365</v>
      </c>
      <c r="AD102" s="613"/>
      <c r="AE102" s="651"/>
      <c r="AF102" s="651"/>
      <c r="AG102" s="651"/>
      <c r="AH102" s="651"/>
      <c r="AI102" s="651"/>
      <c r="AJ102" s="613"/>
      <c r="AK102" s="613"/>
      <c r="AL102" s="613"/>
      <c r="AM102" s="613"/>
      <c r="AN102" s="613"/>
      <c r="AO102" s="93"/>
      <c r="AP102" s="52" t="s">
        <v>15</v>
      </c>
      <c r="AQ102" s="52"/>
      <c r="AR102" s="447"/>
      <c r="AS102" s="447"/>
      <c r="AT102" s="13"/>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52"/>
      <c r="CD102" s="52"/>
      <c r="CE102" s="52"/>
      <c r="CF102" s="52"/>
      <c r="CG102" s="52"/>
      <c r="CH102" s="52"/>
      <c r="CI102" s="52"/>
      <c r="CJ102" s="52"/>
      <c r="CK102" s="52"/>
      <c r="CL102" s="52"/>
      <c r="CM102" s="52"/>
      <c r="CN102" s="52"/>
      <c r="CO102" s="52"/>
      <c r="CP102" s="52"/>
      <c r="CQ102" s="52"/>
      <c r="CR102" s="52"/>
      <c r="CS102" s="52"/>
      <c r="CT102" s="52"/>
      <c r="CU102" s="52"/>
      <c r="CV102" s="52"/>
      <c r="CW102" s="52"/>
      <c r="CX102" s="52"/>
      <c r="CY102" s="52"/>
      <c r="CZ102" s="52"/>
      <c r="DA102" s="52"/>
      <c r="DB102" s="52"/>
      <c r="DC102" s="52"/>
      <c r="DD102" s="52"/>
      <c r="DE102" s="52"/>
      <c r="DF102" s="52"/>
      <c r="DG102" s="52"/>
      <c r="DH102" s="52"/>
      <c r="DI102" s="52"/>
      <c r="DJ102" s="52"/>
      <c r="DK102" s="52"/>
      <c r="DL102" s="52"/>
      <c r="DM102" s="52"/>
      <c r="DN102" s="52"/>
      <c r="DO102" s="52"/>
      <c r="DP102" s="52"/>
      <c r="DQ102" s="52"/>
      <c r="DR102" s="52"/>
      <c r="DS102" s="52"/>
      <c r="DT102" s="52"/>
      <c r="DU102" s="52"/>
      <c r="DV102" s="52"/>
      <c r="DW102" s="52"/>
      <c r="DX102" s="52"/>
      <c r="DY102" s="52"/>
      <c r="DZ102" s="52"/>
      <c r="EA102" s="52"/>
      <c r="EB102" s="52"/>
      <c r="EC102" s="52"/>
      <c r="ED102" s="52"/>
      <c r="EE102" s="52"/>
      <c r="EF102" s="52"/>
      <c r="EG102" s="52"/>
      <c r="EH102" s="52"/>
      <c r="EI102" s="52"/>
      <c r="EJ102" s="52"/>
      <c r="EK102" s="52"/>
      <c r="EL102" s="52"/>
      <c r="EM102" s="52"/>
      <c r="EN102" s="52"/>
      <c r="EO102" s="52"/>
      <c r="EP102" s="52"/>
      <c r="EQ102" s="52"/>
      <c r="ER102" s="52"/>
      <c r="ES102" s="52"/>
      <c r="ET102" s="52"/>
      <c r="EU102" s="52"/>
      <c r="EV102" s="52"/>
      <c r="EW102" s="52"/>
      <c r="EX102" s="52"/>
      <c r="EY102" s="52"/>
      <c r="EZ102" s="52"/>
      <c r="FA102" s="52"/>
      <c r="FB102" s="52"/>
      <c r="FC102" s="52"/>
      <c r="FD102" s="52"/>
      <c r="FE102" s="52"/>
      <c r="FF102" s="52"/>
      <c r="FG102" s="52"/>
      <c r="FH102" s="52"/>
      <c r="FI102" s="52"/>
      <c r="FJ102" s="52"/>
      <c r="FK102" s="52"/>
      <c r="FL102" s="52"/>
      <c r="FM102" s="52"/>
      <c r="FN102" s="52"/>
      <c r="FO102" s="52"/>
      <c r="FP102" s="52"/>
      <c r="FQ102" s="52"/>
      <c r="FR102" s="52"/>
      <c r="FS102" s="52"/>
      <c r="FT102" s="52"/>
      <c r="FU102" s="52"/>
    </row>
    <row r="103" spans="1:177" ht="11.25" customHeight="1">
      <c r="A103" s="287"/>
      <c r="B103" s="747" t="s">
        <v>8</v>
      </c>
      <c r="C103" s="70"/>
      <c r="D103" s="228"/>
      <c r="E103" s="224"/>
      <c r="F103" s="93"/>
      <c r="G103" s="303"/>
      <c r="H103" s="304"/>
      <c r="I103" s="303"/>
      <c r="J103" s="110"/>
      <c r="K103" s="13" t="s">
        <v>179</v>
      </c>
      <c r="L103" s="97">
        <f>IF(1.2*'ET-luvun Laskenta'!D92/100*'ET-luvun Laskenta'!H41/1000*('ET-luvun Laskenta'!D93-L18-'ET-luvun Laskenta'!D91/'ET-luvun Laskenta'!D92*('ET-luvun Laskenta'!D59-L18))*N18&lt;=0,0,1.2*'ET-luvun Laskenta'!D92/100*'ET-luvun Laskenta'!H41/1000*('ET-luvun Laskenta'!D93-L18-'ET-luvun Laskenta'!D91/'ET-luvun Laskenta'!D92*('ET-luvun Laskenta'!D59-L18))*N18)</f>
        <v>115.70973199999997</v>
      </c>
      <c r="M103" s="13"/>
      <c r="N103" s="93">
        <f>Y18/(O18-L103)</f>
        <v>0.59993170469796</v>
      </c>
      <c r="O103" s="100">
        <f>'ET-luvun Laskenta'!D85*'ET-luvun Laskenta'!C28/((O18-L103)/M18/N18*1000)</f>
        <v>385.69345890190004</v>
      </c>
      <c r="P103" s="93">
        <f aca="true" t="shared" si="15" ref="P103:P114">1+O103/15</f>
        <v>26.71289726012667</v>
      </c>
      <c r="Q103" s="93">
        <f aca="true" t="shared" si="16" ref="Q103:Q114">(1-N103^P103)/(1-N103^(P103+1))</f>
        <v>0.9999995272941327</v>
      </c>
      <c r="R103" s="13"/>
      <c r="S103" s="175"/>
      <c r="T103" s="93"/>
      <c r="U103" s="13"/>
      <c r="V103" s="130" t="s">
        <v>526</v>
      </c>
      <c r="W103" s="166"/>
      <c r="X103" s="166"/>
      <c r="Y103" s="136"/>
      <c r="Z103" s="136">
        <f>SUM(Z101:Z102)</f>
        <v>23962.699939589584</v>
      </c>
      <c r="AA103" s="305">
        <f>Z103/'ET-luvun Laskenta'!C28</f>
        <v>119.81349969794792</v>
      </c>
      <c r="AB103" s="239"/>
      <c r="AC103" s="136">
        <f>SUM(AC101:AC102)</f>
        <v>2470.8731730936734</v>
      </c>
      <c r="AD103" s="614"/>
      <c r="AE103" s="614"/>
      <c r="AF103" s="614"/>
      <c r="AG103" s="614"/>
      <c r="AH103" s="614"/>
      <c r="AI103" s="614"/>
      <c r="AJ103" s="614"/>
      <c r="AK103" s="614"/>
      <c r="AL103" s="614"/>
      <c r="AM103" s="614"/>
      <c r="AN103" s="614"/>
      <c r="AO103" s="93"/>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52"/>
      <c r="CD103" s="52"/>
      <c r="CE103" s="52"/>
      <c r="CF103" s="52"/>
      <c r="CG103" s="52"/>
      <c r="CH103" s="52"/>
      <c r="CI103" s="52"/>
      <c r="CJ103" s="52"/>
      <c r="CK103" s="52"/>
      <c r="CL103" s="52"/>
      <c r="CM103" s="52"/>
      <c r="CN103" s="52"/>
      <c r="CO103" s="52"/>
      <c r="CP103" s="52"/>
      <c r="CQ103" s="52"/>
      <c r="CR103" s="52"/>
      <c r="CS103" s="52"/>
      <c r="CT103" s="52"/>
      <c r="CU103" s="52"/>
      <c r="CV103" s="52"/>
      <c r="CW103" s="52"/>
      <c r="CX103" s="52"/>
      <c r="CY103" s="52"/>
      <c r="CZ103" s="52"/>
      <c r="DA103" s="52"/>
      <c r="DB103" s="52"/>
      <c r="DC103" s="52"/>
      <c r="DD103" s="52"/>
      <c r="DE103" s="52"/>
      <c r="DF103" s="52"/>
      <c r="DG103" s="52"/>
      <c r="DH103" s="52"/>
      <c r="DI103" s="52"/>
      <c r="DJ103" s="52"/>
      <c r="DK103" s="52"/>
      <c r="DL103" s="52"/>
      <c r="DM103" s="52"/>
      <c r="DN103" s="52"/>
      <c r="DO103" s="52"/>
      <c r="DP103" s="52"/>
      <c r="DQ103" s="52"/>
      <c r="DR103" s="52"/>
      <c r="DS103" s="52"/>
      <c r="DT103" s="52"/>
      <c r="DU103" s="52"/>
      <c r="DV103" s="52"/>
      <c r="DW103" s="52"/>
      <c r="DX103" s="52"/>
      <c r="DY103" s="52"/>
      <c r="DZ103" s="52"/>
      <c r="EA103" s="52"/>
      <c r="EB103" s="52"/>
      <c r="EC103" s="52"/>
      <c r="ED103" s="52"/>
      <c r="EE103" s="52"/>
      <c r="EF103" s="52"/>
      <c r="EG103" s="52"/>
      <c r="EH103" s="52"/>
      <c r="EI103" s="52"/>
      <c r="EJ103" s="52"/>
      <c r="EK103" s="52"/>
      <c r="EL103" s="52"/>
      <c r="EM103" s="52"/>
      <c r="EN103" s="52"/>
      <c r="EO103" s="52"/>
      <c r="EP103" s="52"/>
      <c r="EQ103" s="52"/>
      <c r="ER103" s="52"/>
      <c r="ES103" s="52"/>
      <c r="ET103" s="52"/>
      <c r="EU103" s="52"/>
      <c r="EV103" s="52"/>
      <c r="EW103" s="52"/>
      <c r="EX103" s="52"/>
      <c r="EY103" s="52"/>
      <c r="EZ103" s="52"/>
      <c r="FA103" s="52"/>
      <c r="FB103" s="52"/>
      <c r="FC103" s="52"/>
      <c r="FD103" s="52"/>
      <c r="FE103" s="52"/>
      <c r="FF103" s="52"/>
      <c r="FG103" s="52"/>
      <c r="FH103" s="52"/>
      <c r="FI103" s="52"/>
      <c r="FJ103" s="52"/>
      <c r="FK103" s="52"/>
      <c r="FL103" s="52"/>
      <c r="FM103" s="52"/>
      <c r="FN103" s="52"/>
      <c r="FO103" s="52"/>
      <c r="FP103" s="52"/>
      <c r="FQ103" s="52"/>
      <c r="FR103" s="52"/>
      <c r="FS103" s="52"/>
      <c r="FT103" s="52"/>
      <c r="FU103" s="52"/>
    </row>
    <row r="104" spans="1:177" ht="11.25" customHeight="1">
      <c r="A104" s="287"/>
      <c r="B104" s="609"/>
      <c r="C104" s="610"/>
      <c r="D104" s="611"/>
      <c r="E104" s="612"/>
      <c r="F104" s="614"/>
      <c r="G104" s="615"/>
      <c r="H104" s="616"/>
      <c r="I104" s="615"/>
      <c r="J104" s="110"/>
      <c r="K104" s="13" t="s">
        <v>180</v>
      </c>
      <c r="L104" s="97">
        <f>IF(1.2*'ET-luvun Laskenta'!D92/100*'ET-luvun Laskenta'!H41/1000*('ET-luvun Laskenta'!D93-L19-'ET-luvun Laskenta'!D91/'ET-luvun Laskenta'!D92*('ET-luvun Laskenta'!D59-L19))*N19&lt;=0,0,1.2*'ET-luvun Laskenta'!D92/100*'ET-luvun Laskenta'!H41/1000*('ET-luvun Laskenta'!D93-L19-'ET-luvun Laskenta'!D91/'ET-luvun Laskenta'!D92*('ET-luvun Laskenta'!D59-L19))*N19)</f>
        <v>114.50040000000004</v>
      </c>
      <c r="M104" s="13"/>
      <c r="N104" s="93">
        <f aca="true" t="shared" si="17" ref="N104:N114">Y19/(O19-L104)</f>
        <v>0.7384164371761458</v>
      </c>
      <c r="O104" s="100">
        <f>'ET-luvun Laskenta'!D85*'ET-luvun Laskenta'!C28/((O19-L104)/M19/N19*1000)</f>
        <v>386.34050733104675</v>
      </c>
      <c r="P104" s="93">
        <f t="shared" si="15"/>
        <v>26.756033822069785</v>
      </c>
      <c r="Q104" s="93">
        <f t="shared" si="16"/>
        <v>0.9999216618892547</v>
      </c>
      <c r="R104" s="13"/>
      <c r="S104" s="175"/>
      <c r="T104" s="93"/>
      <c r="U104" s="166" t="s">
        <v>530</v>
      </c>
      <c r="V104" s="13"/>
      <c r="W104" s="13"/>
      <c r="X104" s="13"/>
      <c r="Y104" s="754">
        <f>'ET-luvun Laskenta'!AC104</f>
        <v>1</v>
      </c>
      <c r="Z104" s="97"/>
      <c r="AA104" s="97"/>
      <c r="AB104" s="239"/>
      <c r="AC104" s="97"/>
      <c r="AD104" s="614"/>
      <c r="AE104" s="614"/>
      <c r="AF104" s="614"/>
      <c r="AG104" s="614"/>
      <c r="AH104" s="614"/>
      <c r="AI104" s="614"/>
      <c r="AJ104" s="614"/>
      <c r="AK104" s="614"/>
      <c r="AL104" s="614"/>
      <c r="AM104" s="614"/>
      <c r="AN104" s="614"/>
      <c r="AO104" s="613"/>
      <c r="AQ104" s="52" t="s">
        <v>3</v>
      </c>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52"/>
      <c r="CD104" s="52"/>
      <c r="CE104" s="52"/>
      <c r="CF104" s="52"/>
      <c r="CG104" s="52"/>
      <c r="CH104" s="52"/>
      <c r="CI104" s="52"/>
      <c r="CJ104" s="52"/>
      <c r="CK104" s="52"/>
      <c r="CL104" s="52"/>
      <c r="CM104" s="52"/>
      <c r="CN104" s="52"/>
      <c r="CO104" s="52"/>
      <c r="CP104" s="52"/>
      <c r="CQ104" s="52"/>
      <c r="CR104" s="52"/>
      <c r="CS104" s="52"/>
      <c r="CT104" s="52"/>
      <c r="CU104" s="52"/>
      <c r="CV104" s="52"/>
      <c r="CW104" s="52"/>
      <c r="CX104" s="52"/>
      <c r="CY104" s="52"/>
      <c r="CZ104" s="52"/>
      <c r="DA104" s="52"/>
      <c r="DB104" s="52"/>
      <c r="DC104" s="52"/>
      <c r="DD104" s="52"/>
      <c r="DE104" s="52"/>
      <c r="DF104" s="52"/>
      <c r="DG104" s="52"/>
      <c r="DH104" s="52"/>
      <c r="DI104" s="52"/>
      <c r="DJ104" s="52"/>
      <c r="DK104" s="52"/>
      <c r="DL104" s="52"/>
      <c r="DM104" s="52"/>
      <c r="DN104" s="52"/>
      <c r="DO104" s="52"/>
      <c r="DP104" s="52"/>
      <c r="DQ104" s="52"/>
      <c r="DR104" s="52"/>
      <c r="DS104" s="52"/>
      <c r="DT104" s="52"/>
      <c r="DU104" s="52"/>
      <c r="DV104" s="52"/>
      <c r="DW104" s="52"/>
      <c r="DX104" s="52"/>
      <c r="DY104" s="52"/>
      <c r="DZ104" s="52"/>
      <c r="EA104" s="52"/>
      <c r="EB104" s="52"/>
      <c r="EC104" s="52"/>
      <c r="ED104" s="52"/>
      <c r="EE104" s="52"/>
      <c r="EF104" s="52"/>
      <c r="EG104" s="52"/>
      <c r="EH104" s="52"/>
      <c r="EI104" s="52"/>
      <c r="EJ104" s="52"/>
      <c r="EK104" s="52"/>
      <c r="EL104" s="52"/>
      <c r="EM104" s="52"/>
      <c r="EN104" s="52"/>
      <c r="EO104" s="52"/>
      <c r="EP104" s="52"/>
      <c r="EQ104" s="52"/>
      <c r="ER104" s="52"/>
      <c r="ES104" s="52"/>
      <c r="ET104" s="52"/>
      <c r="EU104" s="52"/>
      <c r="EV104" s="52"/>
      <c r="EW104" s="52"/>
      <c r="EX104" s="52"/>
      <c r="EY104" s="52"/>
      <c r="EZ104" s="52"/>
      <c r="FA104" s="52"/>
      <c r="FB104" s="52"/>
      <c r="FC104" s="52"/>
      <c r="FD104" s="52"/>
      <c r="FE104" s="52"/>
      <c r="FF104" s="52"/>
      <c r="FG104" s="52"/>
      <c r="FH104" s="52"/>
      <c r="FI104" s="52"/>
      <c r="FJ104" s="52"/>
      <c r="FK104" s="52"/>
      <c r="FL104" s="52"/>
      <c r="FM104" s="52"/>
      <c r="FN104" s="52"/>
      <c r="FO104" s="52"/>
      <c r="FP104" s="52"/>
      <c r="FQ104" s="52"/>
      <c r="FR104" s="52"/>
      <c r="FS104" s="52"/>
      <c r="FT104" s="52"/>
      <c r="FU104" s="52"/>
    </row>
    <row r="105" spans="1:177" ht="11.25" customHeight="1">
      <c r="A105" s="287"/>
      <c r="B105" s="609"/>
      <c r="C105" s="617"/>
      <c r="D105" s="611"/>
      <c r="E105" s="612"/>
      <c r="F105" s="614"/>
      <c r="G105" s="615"/>
      <c r="H105" s="616"/>
      <c r="I105" s="615"/>
      <c r="J105" s="110"/>
      <c r="K105" s="13" t="s">
        <v>181</v>
      </c>
      <c r="L105" s="97">
        <f>IF(1.2*'ET-luvun Laskenta'!D92/100*'ET-luvun Laskenta'!H41/1000*('ET-luvun Laskenta'!D93-L20-'ET-luvun Laskenta'!D91/'ET-luvun Laskenta'!D92*('ET-luvun Laskenta'!D59-L20))*N20&lt;=0,0,1.2*'ET-luvun Laskenta'!D92/100*'ET-luvun Laskenta'!H41/1000*('ET-luvun Laskenta'!D93-L20-'ET-luvun Laskenta'!D91/'ET-luvun Laskenta'!D92*('ET-luvun Laskenta'!D59-L20))*N20)</f>
        <v>53.61859200000007</v>
      </c>
      <c r="M105" s="13"/>
      <c r="N105" s="93">
        <f t="shared" si="17"/>
        <v>0.9718200348364887</v>
      </c>
      <c r="O105" s="100">
        <f>'ET-luvun Laskenta'!D85*'ET-luvun Laskenta'!C28/((O20-L105)/M20/N20*1000)</f>
        <v>373.67095965391616</v>
      </c>
      <c r="P105" s="93">
        <f t="shared" si="15"/>
        <v>25.911397310261076</v>
      </c>
      <c r="Q105" s="93">
        <f t="shared" si="16"/>
        <v>0.9749626261454896</v>
      </c>
      <c r="R105" s="13"/>
      <c r="S105" s="175"/>
      <c r="T105" s="10"/>
      <c r="U105" s="166"/>
      <c r="V105" s="13" t="s">
        <v>256</v>
      </c>
      <c r="W105" s="13"/>
      <c r="X105" s="13"/>
      <c r="Y105" s="97"/>
      <c r="Z105" s="97">
        <f>Z92/Y104</f>
        <v>13962.69993958958</v>
      </c>
      <c r="AA105" s="98">
        <f>Z105/'ET-luvun Laskenta'!C28</f>
        <v>69.8134996979479</v>
      </c>
      <c r="AB105" s="239">
        <f>AB67</f>
        <v>0.0713</v>
      </c>
      <c r="AC105" s="97">
        <f>Z105*AB105</f>
        <v>995.540505692737</v>
      </c>
      <c r="AD105" s="614"/>
      <c r="AE105" s="614"/>
      <c r="AF105" s="614"/>
      <c r="AG105" s="614"/>
      <c r="AH105" s="614"/>
      <c r="AI105" s="614"/>
      <c r="AJ105" s="614"/>
      <c r="AK105" s="614"/>
      <c r="AL105" s="614"/>
      <c r="AM105" s="614"/>
      <c r="AN105" s="614"/>
      <c r="AO105" s="614"/>
      <c r="AQ105" s="208" t="s">
        <v>4</v>
      </c>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52"/>
      <c r="CD105" s="52"/>
      <c r="CE105" s="52"/>
      <c r="CF105" s="52"/>
      <c r="CG105" s="52"/>
      <c r="CH105" s="52"/>
      <c r="CI105" s="52"/>
      <c r="CJ105" s="52"/>
      <c r="CK105" s="52"/>
      <c r="CL105" s="52"/>
      <c r="CM105" s="52"/>
      <c r="CN105" s="52"/>
      <c r="CO105" s="52"/>
      <c r="CP105" s="52"/>
      <c r="CQ105" s="52"/>
      <c r="CR105" s="52"/>
      <c r="CS105" s="52"/>
      <c r="CT105" s="52"/>
      <c r="CU105" s="52"/>
      <c r="CV105" s="52"/>
      <c r="CW105" s="52"/>
      <c r="CX105" s="52"/>
      <c r="CY105" s="52"/>
      <c r="CZ105" s="52"/>
      <c r="DA105" s="52"/>
      <c r="DB105" s="52"/>
      <c r="DC105" s="52"/>
      <c r="DD105" s="52"/>
      <c r="DE105" s="52"/>
      <c r="DF105" s="52"/>
      <c r="DG105" s="52"/>
      <c r="DH105" s="52"/>
      <c r="DI105" s="52"/>
      <c r="DJ105" s="52"/>
      <c r="DK105" s="52"/>
      <c r="DL105" s="52"/>
      <c r="DM105" s="52"/>
      <c r="DN105" s="52"/>
      <c r="DO105" s="52"/>
      <c r="DP105" s="52"/>
      <c r="DQ105" s="52"/>
      <c r="DR105" s="52"/>
      <c r="DS105" s="52"/>
      <c r="DT105" s="52"/>
      <c r="DU105" s="52"/>
      <c r="DV105" s="52"/>
      <c r="DW105" s="52"/>
      <c r="DX105" s="52"/>
      <c r="DY105" s="52"/>
      <c r="DZ105" s="52"/>
      <c r="EA105" s="52"/>
      <c r="EB105" s="52"/>
      <c r="EC105" s="52"/>
      <c r="ED105" s="52"/>
      <c r="EE105" s="52"/>
      <c r="EF105" s="52"/>
      <c r="EG105" s="52"/>
      <c r="EH105" s="52"/>
      <c r="EI105" s="52"/>
      <c r="EJ105" s="52"/>
      <c r="EK105" s="52"/>
      <c r="EL105" s="52"/>
      <c r="EM105" s="52"/>
      <c r="EN105" s="52"/>
      <c r="EO105" s="52"/>
      <c r="EP105" s="52"/>
      <c r="EQ105" s="52"/>
      <c r="ER105" s="52"/>
      <c r="ES105" s="52"/>
      <c r="ET105" s="52"/>
      <c r="EU105" s="52"/>
      <c r="EV105" s="52"/>
      <c r="EW105" s="52"/>
      <c r="EX105" s="52"/>
      <c r="EY105" s="52"/>
      <c r="EZ105" s="52"/>
      <c r="FA105" s="52"/>
      <c r="FB105" s="52"/>
      <c r="FC105" s="52"/>
      <c r="FD105" s="52"/>
      <c r="FE105" s="52"/>
      <c r="FF105" s="52"/>
      <c r="FG105" s="52"/>
      <c r="FH105" s="52"/>
      <c r="FI105" s="52"/>
      <c r="FJ105" s="52"/>
      <c r="FK105" s="52"/>
      <c r="FL105" s="52"/>
      <c r="FM105" s="52"/>
      <c r="FN105" s="52"/>
      <c r="FO105" s="52"/>
      <c r="FP105" s="52"/>
      <c r="FQ105" s="52"/>
      <c r="FR105" s="52"/>
      <c r="FS105" s="52"/>
      <c r="FT105" s="52"/>
      <c r="FU105" s="52"/>
    </row>
    <row r="106" spans="1:177" ht="11.25" customHeight="1">
      <c r="A106" s="287"/>
      <c r="B106" s="609"/>
      <c r="C106" s="617"/>
      <c r="D106" s="611"/>
      <c r="E106" s="612"/>
      <c r="F106" s="614"/>
      <c r="G106" s="615"/>
      <c r="H106" s="616"/>
      <c r="I106" s="615"/>
      <c r="J106" s="110"/>
      <c r="K106" s="13" t="s">
        <v>182</v>
      </c>
      <c r="L106" s="97">
        <f>IF(1.2*'ET-luvun Laskenta'!D92/100*'ET-luvun Laskenta'!H41/1000*('ET-luvun Laskenta'!D93-L21-'ET-luvun Laskenta'!D91/'ET-luvun Laskenta'!D92*('ET-luvun Laskenta'!D59-L21))*N21&lt;=0,0,1.2*'ET-luvun Laskenta'!D92/100*'ET-luvun Laskenta'!H41/1000*('ET-luvun Laskenta'!D93-L21-'ET-luvun Laskenta'!D91/'ET-luvun Laskenta'!D92*('ET-luvun Laskenta'!D59-L21))*N21)</f>
        <v>21.362399999999965</v>
      </c>
      <c r="M106" s="13"/>
      <c r="N106" s="93">
        <f t="shared" si="17"/>
        <v>1.2265400348857596</v>
      </c>
      <c r="O106" s="100">
        <f>'ET-luvun Laskenta'!D85*'ET-luvun Laskenta'!C28/((O21-L106)/M21/N21*1000)</f>
        <v>364.80297314423115</v>
      </c>
      <c r="P106" s="93">
        <f t="shared" si="15"/>
        <v>25.32019820961541</v>
      </c>
      <c r="Q106" s="93">
        <f t="shared" si="16"/>
        <v>0.8144418321586706</v>
      </c>
      <c r="R106" s="13"/>
      <c r="S106" s="175"/>
      <c r="T106" s="10"/>
      <c r="U106" s="13"/>
      <c r="V106" s="13" t="s">
        <v>339</v>
      </c>
      <c r="W106" s="13"/>
      <c r="X106" s="13"/>
      <c r="Y106" s="13"/>
      <c r="Z106" s="97">
        <f>S31</f>
        <v>10000.000000000002</v>
      </c>
      <c r="AA106" s="98">
        <f>Z106/'ET-luvun Laskenta'!C28</f>
        <v>50.00000000000001</v>
      </c>
      <c r="AB106" s="239">
        <f>AB59</f>
        <v>0.110574</v>
      </c>
      <c r="AC106" s="97">
        <f>Z106*AB106</f>
        <v>1105.7400000000002</v>
      </c>
      <c r="AD106" s="614"/>
      <c r="AE106" s="614"/>
      <c r="AF106" s="614"/>
      <c r="AG106" s="614"/>
      <c r="AH106" s="614"/>
      <c r="AI106" s="614"/>
      <c r="AJ106" s="614"/>
      <c r="AK106" s="614"/>
      <c r="AL106" s="614"/>
      <c r="AM106" s="614"/>
      <c r="AN106" s="614"/>
      <c r="AO106" s="614"/>
      <c r="AQ106" s="447" t="s">
        <v>5</v>
      </c>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52"/>
      <c r="CD106" s="52"/>
      <c r="CE106" s="52"/>
      <c r="CF106" s="52"/>
      <c r="CG106" s="52"/>
      <c r="CH106" s="52"/>
      <c r="CI106" s="52"/>
      <c r="CJ106" s="52"/>
      <c r="CK106" s="52"/>
      <c r="CL106" s="52"/>
      <c r="CM106" s="52"/>
      <c r="CN106" s="52"/>
      <c r="CO106" s="52"/>
      <c r="CP106" s="52"/>
      <c r="CQ106" s="52"/>
      <c r="CR106" s="52"/>
      <c r="CS106" s="52"/>
      <c r="CT106" s="52"/>
      <c r="CU106" s="52"/>
      <c r="CV106" s="52"/>
      <c r="CW106" s="52"/>
      <c r="CX106" s="52"/>
      <c r="CY106" s="52"/>
      <c r="CZ106" s="52"/>
      <c r="DA106" s="52"/>
      <c r="DB106" s="52"/>
      <c r="DC106" s="52"/>
      <c r="DD106" s="52"/>
      <c r="DE106" s="52"/>
      <c r="DF106" s="52"/>
      <c r="DG106" s="52"/>
      <c r="DH106" s="52"/>
      <c r="DI106" s="52"/>
      <c r="DJ106" s="52"/>
      <c r="DK106" s="52"/>
      <c r="DL106" s="52"/>
      <c r="DM106" s="52"/>
      <c r="DN106" s="52"/>
      <c r="DO106" s="52"/>
      <c r="DP106" s="52"/>
      <c r="DQ106" s="52"/>
      <c r="DR106" s="52"/>
      <c r="DS106" s="52"/>
      <c r="DT106" s="52"/>
      <c r="DU106" s="52"/>
      <c r="DV106" s="52"/>
      <c r="DW106" s="52"/>
      <c r="DX106" s="52"/>
      <c r="DY106" s="52"/>
      <c r="DZ106" s="52"/>
      <c r="EA106" s="52"/>
      <c r="EB106" s="52"/>
      <c r="EC106" s="52"/>
      <c r="ED106" s="52"/>
      <c r="EE106" s="52"/>
      <c r="EF106" s="52"/>
      <c r="EG106" s="52"/>
      <c r="EH106" s="52"/>
      <c r="EI106" s="52"/>
      <c r="EJ106" s="52"/>
      <c r="EK106" s="52"/>
      <c r="EL106" s="52"/>
      <c r="EM106" s="52"/>
      <c r="EN106" s="52"/>
      <c r="EO106" s="52"/>
      <c r="EP106" s="52"/>
      <c r="EQ106" s="52"/>
      <c r="ER106" s="52"/>
      <c r="ES106" s="52"/>
      <c r="ET106" s="52"/>
      <c r="EU106" s="52"/>
      <c r="EV106" s="52"/>
      <c r="EW106" s="52"/>
      <c r="EX106" s="52"/>
      <c r="EY106" s="52"/>
      <c r="EZ106" s="52"/>
      <c r="FA106" s="52"/>
      <c r="FB106" s="52"/>
      <c r="FC106" s="52"/>
      <c r="FD106" s="52"/>
      <c r="FE106" s="52"/>
      <c r="FF106" s="52"/>
      <c r="FG106" s="52"/>
      <c r="FH106" s="52"/>
      <c r="FI106" s="52"/>
      <c r="FJ106" s="52"/>
      <c r="FK106" s="52"/>
      <c r="FL106" s="52"/>
      <c r="FM106" s="52"/>
      <c r="FN106" s="52"/>
      <c r="FO106" s="52"/>
      <c r="FP106" s="52"/>
      <c r="FQ106" s="52"/>
      <c r="FR106" s="52"/>
      <c r="FS106" s="52"/>
      <c r="FT106" s="52"/>
      <c r="FU106" s="52"/>
    </row>
    <row r="107" spans="1:177" ht="11.25" customHeight="1">
      <c r="A107" s="287"/>
      <c r="B107" s="609"/>
      <c r="C107" s="617"/>
      <c r="D107" s="611"/>
      <c r="E107" s="612"/>
      <c r="F107" s="614"/>
      <c r="G107" s="615"/>
      <c r="H107" s="616"/>
      <c r="I107" s="615"/>
      <c r="J107" s="110"/>
      <c r="K107" s="13" t="s">
        <v>183</v>
      </c>
      <c r="L107" s="97">
        <f>IF(1.2*'ET-luvun Laskenta'!D92/100*'ET-luvun Laskenta'!H41/1000*('ET-luvun Laskenta'!D93-L22-'ET-luvun Laskenta'!D91/'ET-luvun Laskenta'!D92*('ET-luvun Laskenta'!D59-L22))*N22&lt;=0,0,1.2*'ET-luvun Laskenta'!D92/100*'ET-luvun Laskenta'!H41/1000*('ET-luvun Laskenta'!D93-L22-'ET-luvun Laskenta'!D91/'ET-luvun Laskenta'!D92*('ET-luvun Laskenta'!D59-L22))*N22)</f>
        <v>0</v>
      </c>
      <c r="M107" s="13"/>
      <c r="N107" s="93">
        <f t="shared" si="17"/>
        <v>1.5761620839993364</v>
      </c>
      <c r="O107" s="100">
        <f>'ET-luvun Laskenta'!D85*'ET-luvun Laskenta'!C28/((O22-L107)/M22/N22*1000)</f>
        <v>347.0727644856093</v>
      </c>
      <c r="P107" s="93">
        <f t="shared" si="15"/>
        <v>24.13818429904062</v>
      </c>
      <c r="Q107" s="93">
        <f t="shared" si="16"/>
        <v>0.6344485749816017</v>
      </c>
      <c r="R107" s="13"/>
      <c r="S107" s="175"/>
      <c r="T107" s="10"/>
      <c r="U107" s="13"/>
      <c r="V107" s="130" t="s">
        <v>526</v>
      </c>
      <c r="W107" s="166"/>
      <c r="X107" s="166"/>
      <c r="Y107" s="166"/>
      <c r="Z107" s="136">
        <f>Z106+Z105</f>
        <v>23962.699939589584</v>
      </c>
      <c r="AA107" s="305">
        <f>Z107/'ET-luvun Laskenta'!C28</f>
        <v>119.81349969794792</v>
      </c>
      <c r="AB107" s="239"/>
      <c r="AC107" s="136">
        <f>SUM(AC105:AC106)</f>
        <v>2101.2805056927373</v>
      </c>
      <c r="AD107" s="614"/>
      <c r="AE107" s="614"/>
      <c r="AF107" s="614"/>
      <c r="AG107" s="614"/>
      <c r="AH107" s="614"/>
      <c r="AI107" s="614"/>
      <c r="AJ107" s="614"/>
      <c r="AK107" s="614"/>
      <c r="AL107" s="614"/>
      <c r="AM107" s="614"/>
      <c r="AN107" s="614"/>
      <c r="AO107" s="614"/>
      <c r="AQ107" s="447"/>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52"/>
      <c r="CD107" s="52"/>
      <c r="CE107" s="52"/>
      <c r="CF107" s="52"/>
      <c r="CG107" s="52"/>
      <c r="CH107" s="52"/>
      <c r="CI107" s="52"/>
      <c r="CJ107" s="52"/>
      <c r="CK107" s="52"/>
      <c r="CL107" s="52"/>
      <c r="CM107" s="52"/>
      <c r="CN107" s="52"/>
      <c r="CO107" s="52"/>
      <c r="CP107" s="52"/>
      <c r="CQ107" s="52"/>
      <c r="CR107" s="52"/>
      <c r="CS107" s="52"/>
      <c r="CT107" s="52"/>
      <c r="CU107" s="52"/>
      <c r="CV107" s="52"/>
      <c r="CW107" s="52"/>
      <c r="CX107" s="52"/>
      <c r="CY107" s="52"/>
      <c r="CZ107" s="52"/>
      <c r="DA107" s="52"/>
      <c r="DB107" s="52"/>
      <c r="DC107" s="52"/>
      <c r="DD107" s="52"/>
      <c r="DE107" s="52"/>
      <c r="DF107" s="52"/>
      <c r="DG107" s="52"/>
      <c r="DH107" s="52"/>
      <c r="DI107" s="52"/>
      <c r="DJ107" s="52"/>
      <c r="DK107" s="52"/>
      <c r="DL107" s="52"/>
      <c r="DM107" s="52"/>
      <c r="DN107" s="52"/>
      <c r="DO107" s="52"/>
      <c r="DP107" s="52"/>
      <c r="DQ107" s="52"/>
      <c r="DR107" s="52"/>
      <c r="DS107" s="52"/>
      <c r="DT107" s="52"/>
      <c r="DU107" s="52"/>
      <c r="DV107" s="52"/>
      <c r="DW107" s="52"/>
      <c r="DX107" s="52"/>
      <c r="DY107" s="52"/>
      <c r="DZ107" s="52"/>
      <c r="EA107" s="52"/>
      <c r="EB107" s="52"/>
      <c r="EC107" s="52"/>
      <c r="ED107" s="52"/>
      <c r="EE107" s="52"/>
      <c r="EF107" s="52"/>
      <c r="EG107" s="52"/>
      <c r="EH107" s="52"/>
      <c r="EI107" s="52"/>
      <c r="EJ107" s="52"/>
      <c r="EK107" s="52"/>
      <c r="EL107" s="52"/>
      <c r="EM107" s="52"/>
      <c r="EN107" s="52"/>
      <c r="EO107" s="52"/>
      <c r="EP107" s="52"/>
      <c r="EQ107" s="52"/>
      <c r="ER107" s="52"/>
      <c r="ES107" s="52"/>
      <c r="ET107" s="52"/>
      <c r="EU107" s="52"/>
      <c r="EV107" s="52"/>
      <c r="EW107" s="52"/>
      <c r="EX107" s="52"/>
      <c r="EY107" s="52"/>
      <c r="EZ107" s="52"/>
      <c r="FA107" s="52"/>
      <c r="FB107" s="52"/>
      <c r="FC107" s="52"/>
      <c r="FD107" s="52"/>
      <c r="FE107" s="52"/>
      <c r="FF107" s="52"/>
      <c r="FG107" s="52"/>
      <c r="FH107" s="52"/>
      <c r="FI107" s="52"/>
      <c r="FJ107" s="52"/>
      <c r="FK107" s="52"/>
      <c r="FL107" s="52"/>
      <c r="FM107" s="52"/>
      <c r="FN107" s="52"/>
      <c r="FO107" s="52"/>
      <c r="FP107" s="52"/>
      <c r="FQ107" s="52"/>
      <c r="FR107" s="52"/>
      <c r="FS107" s="52"/>
      <c r="FT107" s="52"/>
      <c r="FU107" s="52"/>
    </row>
    <row r="108" spans="1:177" ht="11.25" customHeight="1">
      <c r="A108" s="287"/>
      <c r="B108" s="609"/>
      <c r="C108" s="617"/>
      <c r="D108" s="618"/>
      <c r="E108" s="612"/>
      <c r="F108" s="614"/>
      <c r="G108" s="615"/>
      <c r="H108" s="616"/>
      <c r="I108" s="615"/>
      <c r="J108" s="110"/>
      <c r="K108" s="13" t="s">
        <v>184</v>
      </c>
      <c r="L108" s="97">
        <f>IF(1.2*'ET-luvun Laskenta'!D92/100*'ET-luvun Laskenta'!H41/1000*('ET-luvun Laskenta'!D93-L23-'ET-luvun Laskenta'!D91/'ET-luvun Laskenta'!D92*('ET-luvun Laskenta'!D59-L23))*N23&lt;=0,0,1.2*'ET-luvun Laskenta'!D92/100*'ET-luvun Laskenta'!H41/1000*('ET-luvun Laskenta'!D93-L23-'ET-luvun Laskenta'!D91/'ET-luvun Laskenta'!D92*('ET-luvun Laskenta'!D59-L23))*N23)</f>
        <v>0</v>
      </c>
      <c r="M108" s="13"/>
      <c r="N108" s="93">
        <f t="shared" si="17"/>
        <v>2.875118960708942</v>
      </c>
      <c r="O108" s="100">
        <f>'ET-luvun Laskenta'!D85*'ET-luvun Laskenta'!C28/((O23-L108)/M23/N23*1000)</f>
        <v>325.0746317175318</v>
      </c>
      <c r="P108" s="93">
        <f t="shared" si="15"/>
        <v>22.67164211450212</v>
      </c>
      <c r="Q108" s="93">
        <f t="shared" si="16"/>
        <v>0.34781169532107586</v>
      </c>
      <c r="R108" s="13"/>
      <c r="S108" s="175"/>
      <c r="T108" s="10"/>
      <c r="U108" s="166" t="s">
        <v>310</v>
      </c>
      <c r="V108" s="13"/>
      <c r="W108" s="13"/>
      <c r="X108" s="13"/>
      <c r="Y108" s="754">
        <f>'ET-luvun Laskenta'!AC108</f>
        <v>4</v>
      </c>
      <c r="Z108" s="97"/>
      <c r="AA108" s="97"/>
      <c r="AB108" s="239"/>
      <c r="AC108" s="97"/>
      <c r="AD108" s="614"/>
      <c r="AE108" s="614"/>
      <c r="AF108" s="614"/>
      <c r="AG108" s="614"/>
      <c r="AH108" s="614"/>
      <c r="AI108" s="614"/>
      <c r="AJ108" s="614"/>
      <c r="AK108" s="614"/>
      <c r="AL108" s="614"/>
      <c r="AM108" s="614"/>
      <c r="AN108" s="614"/>
      <c r="AO108" s="614"/>
      <c r="AP108" s="199" t="s">
        <v>729</v>
      </c>
      <c r="AQ108" s="447"/>
      <c r="AR108" s="447"/>
      <c r="AS108" s="447"/>
      <c r="AT108" s="13"/>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52"/>
      <c r="CD108" s="52"/>
      <c r="CE108" s="52"/>
      <c r="CF108" s="52"/>
      <c r="CG108" s="52"/>
      <c r="CH108" s="52"/>
      <c r="CI108" s="52"/>
      <c r="CJ108" s="52"/>
      <c r="CK108" s="52"/>
      <c r="CL108" s="52"/>
      <c r="CM108" s="52"/>
      <c r="CN108" s="52"/>
      <c r="CO108" s="52"/>
      <c r="CP108" s="52"/>
      <c r="CQ108" s="52"/>
      <c r="CR108" s="52"/>
      <c r="CS108" s="52"/>
      <c r="CT108" s="52"/>
      <c r="CU108" s="52"/>
      <c r="CV108" s="52"/>
      <c r="CW108" s="52"/>
      <c r="CX108" s="52"/>
      <c r="CY108" s="52"/>
      <c r="CZ108" s="52"/>
      <c r="DA108" s="52"/>
      <c r="DB108" s="52"/>
      <c r="DC108" s="52"/>
      <c r="DD108" s="52"/>
      <c r="DE108" s="52"/>
      <c r="DF108" s="52"/>
      <c r="DG108" s="52"/>
      <c r="DH108" s="52"/>
      <c r="DI108" s="52"/>
      <c r="DJ108" s="52"/>
      <c r="DK108" s="52"/>
      <c r="DL108" s="52"/>
      <c r="DM108" s="52"/>
      <c r="DN108" s="52"/>
      <c r="DO108" s="52"/>
      <c r="DP108" s="52"/>
      <c r="DQ108" s="52"/>
      <c r="DR108" s="52"/>
      <c r="DS108" s="52"/>
      <c r="DT108" s="52"/>
      <c r="DU108" s="52"/>
      <c r="DV108" s="52"/>
      <c r="DW108" s="52"/>
      <c r="DX108" s="52"/>
      <c r="DY108" s="52"/>
      <c r="DZ108" s="52"/>
      <c r="EA108" s="52"/>
      <c r="EB108" s="52"/>
      <c r="EC108" s="52"/>
      <c r="ED108" s="52"/>
      <c r="EE108" s="52"/>
      <c r="EF108" s="52"/>
      <c r="EG108" s="52"/>
      <c r="EH108" s="52"/>
      <c r="EI108" s="52"/>
      <c r="EJ108" s="52"/>
      <c r="EK108" s="52"/>
      <c r="EL108" s="52"/>
      <c r="EM108" s="52"/>
      <c r="EN108" s="52"/>
      <c r="EO108" s="52"/>
      <c r="EP108" s="52"/>
      <c r="EQ108" s="52"/>
      <c r="ER108" s="52"/>
      <c r="ES108" s="52"/>
      <c r="ET108" s="52"/>
      <c r="EU108" s="52"/>
      <c r="EV108" s="52"/>
      <c r="EW108" s="52"/>
      <c r="EX108" s="52"/>
      <c r="EY108" s="52"/>
      <c r="EZ108" s="52"/>
      <c r="FA108" s="52"/>
      <c r="FB108" s="52"/>
      <c r="FC108" s="52"/>
      <c r="FD108" s="52"/>
      <c r="FE108" s="52"/>
      <c r="FF108" s="52"/>
      <c r="FG108" s="52"/>
      <c r="FH108" s="52"/>
      <c r="FI108" s="52"/>
      <c r="FJ108" s="52"/>
      <c r="FK108" s="52"/>
      <c r="FL108" s="52"/>
      <c r="FM108" s="52"/>
      <c r="FN108" s="52"/>
      <c r="FO108" s="52"/>
      <c r="FP108" s="52"/>
      <c r="FQ108" s="52"/>
      <c r="FR108" s="52"/>
      <c r="FS108" s="52"/>
      <c r="FT108" s="52"/>
      <c r="FU108" s="52"/>
    </row>
    <row r="109" spans="1:177" ht="11.25" customHeight="1">
      <c r="A109" s="209"/>
      <c r="B109" s="609"/>
      <c r="C109" s="617"/>
      <c r="D109" s="611"/>
      <c r="E109" s="612"/>
      <c r="F109" s="526"/>
      <c r="G109" s="619"/>
      <c r="H109" s="620"/>
      <c r="I109" s="619"/>
      <c r="J109" s="110"/>
      <c r="K109" s="13" t="s">
        <v>185</v>
      </c>
      <c r="L109" s="97">
        <f>IF(1.2*'ET-luvun Laskenta'!D92/100*'ET-luvun Laskenta'!H41/1000*('ET-luvun Laskenta'!D93-L24-'ET-luvun Laskenta'!D91/'ET-luvun Laskenta'!D92*('ET-luvun Laskenta'!D59-L24))*N24&lt;=0,0,1.2*'ET-luvun Laskenta'!D92/100*'ET-luvun Laskenta'!H41/1000*('ET-luvun Laskenta'!D93-L24-'ET-luvun Laskenta'!D91/'ET-luvun Laskenta'!D92*('ET-luvun Laskenta'!D59-L24))*N24)</f>
        <v>0</v>
      </c>
      <c r="M109" s="13"/>
      <c r="N109" s="93">
        <f t="shared" si="17"/>
        <v>2.180141745476196</v>
      </c>
      <c r="O109" s="100">
        <f>'ET-luvun Laskenta'!D85*'ET-luvun Laskenta'!C28/((O24-L109)/M24/N24*1000)</f>
        <v>339.705507677749</v>
      </c>
      <c r="P109" s="93">
        <f t="shared" si="15"/>
        <v>23.647033845183266</v>
      </c>
      <c r="Q109" s="93">
        <f t="shared" si="16"/>
        <v>0.4586857697273409</v>
      </c>
      <c r="R109" s="13"/>
      <c r="S109" s="13"/>
      <c r="T109" s="10"/>
      <c r="U109" s="10"/>
      <c r="V109" s="10" t="s">
        <v>256</v>
      </c>
      <c r="W109" s="10"/>
      <c r="X109" s="10"/>
      <c r="Y109" s="10"/>
      <c r="Z109" s="98">
        <f>Z92/Y108</f>
        <v>3490.674984897395</v>
      </c>
      <c r="AA109" s="98">
        <f>Z109/'ET-luvun Laskenta'!C28</f>
        <v>17.453374924486976</v>
      </c>
      <c r="AB109" s="239">
        <f>AB60</f>
        <v>0.1072610002756229</v>
      </c>
      <c r="AC109" s="136">
        <f>Z109*AB109</f>
        <v>374.4132905171894</v>
      </c>
      <c r="AD109" s="526"/>
      <c r="AE109" s="526"/>
      <c r="AF109" s="526"/>
      <c r="AG109" s="526"/>
      <c r="AH109" s="526"/>
      <c r="AI109" s="526"/>
      <c r="AJ109" s="526"/>
      <c r="AK109" s="526"/>
      <c r="AL109" s="526"/>
      <c r="AM109" s="526"/>
      <c r="AN109" s="526"/>
      <c r="AO109" s="614"/>
      <c r="AQ109" s="447"/>
      <c r="AR109" s="447"/>
      <c r="AS109" s="447"/>
      <c r="AT109" s="13"/>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52"/>
      <c r="CD109" s="52"/>
      <c r="CE109" s="52"/>
      <c r="CF109" s="52"/>
      <c r="CG109" s="52"/>
      <c r="CH109" s="52"/>
      <c r="CI109" s="52"/>
      <c r="CJ109" s="52"/>
      <c r="CK109" s="52"/>
      <c r="CL109" s="52"/>
      <c r="CM109" s="52"/>
      <c r="CN109" s="52"/>
      <c r="CO109" s="52"/>
      <c r="CP109" s="52"/>
      <c r="CQ109" s="52"/>
      <c r="CR109" s="52"/>
      <c r="CS109" s="52"/>
      <c r="CT109" s="52"/>
      <c r="CU109" s="52"/>
      <c r="CV109" s="52"/>
      <c r="CW109" s="52"/>
      <c r="CX109" s="52"/>
      <c r="CY109" s="52"/>
      <c r="CZ109" s="52"/>
      <c r="DA109" s="52"/>
      <c r="DB109" s="52"/>
      <c r="DC109" s="52"/>
      <c r="DD109" s="52"/>
      <c r="DE109" s="52"/>
      <c r="DF109" s="52"/>
      <c r="DG109" s="52"/>
      <c r="DH109" s="52"/>
      <c r="DI109" s="52"/>
      <c r="DJ109" s="52"/>
      <c r="DK109" s="52"/>
      <c r="DL109" s="52"/>
      <c r="DM109" s="52"/>
      <c r="DN109" s="52"/>
      <c r="DO109" s="52"/>
      <c r="DP109" s="52"/>
      <c r="DQ109" s="52"/>
      <c r="DR109" s="52"/>
      <c r="DS109" s="52"/>
      <c r="DT109" s="52"/>
      <c r="DU109" s="52"/>
      <c r="DV109" s="52"/>
      <c r="DW109" s="52"/>
      <c r="DX109" s="52"/>
      <c r="DY109" s="52"/>
      <c r="DZ109" s="52"/>
      <c r="EA109" s="52"/>
      <c r="EB109" s="52"/>
      <c r="EC109" s="52"/>
      <c r="ED109" s="52"/>
      <c r="EE109" s="52"/>
      <c r="EF109" s="52"/>
      <c r="EG109" s="52"/>
      <c r="EH109" s="52"/>
      <c r="EI109" s="52"/>
      <c r="EJ109" s="52"/>
      <c r="EK109" s="52"/>
      <c r="EL109" s="52"/>
      <c r="EM109" s="52"/>
      <c r="EN109" s="52"/>
      <c r="EO109" s="52"/>
      <c r="EP109" s="52"/>
      <c r="EQ109" s="52"/>
      <c r="ER109" s="52"/>
      <c r="ES109" s="52"/>
      <c r="ET109" s="52"/>
      <c r="EU109" s="52"/>
      <c r="EV109" s="52"/>
      <c r="EW109" s="52"/>
      <c r="EX109" s="52"/>
      <c r="EY109" s="52"/>
      <c r="EZ109" s="52"/>
      <c r="FA109" s="52"/>
      <c r="FB109" s="52"/>
      <c r="FC109" s="52"/>
      <c r="FD109" s="52"/>
      <c r="FE109" s="52"/>
      <c r="FF109" s="52"/>
      <c r="FG109" s="52"/>
      <c r="FH109" s="52"/>
      <c r="FI109" s="52"/>
      <c r="FJ109" s="52"/>
      <c r="FK109" s="52"/>
      <c r="FL109" s="52"/>
      <c r="FM109" s="52"/>
      <c r="FN109" s="52"/>
      <c r="FO109" s="52"/>
      <c r="FP109" s="52"/>
      <c r="FQ109" s="52"/>
      <c r="FR109" s="52"/>
      <c r="FS109" s="52"/>
      <c r="FT109" s="52"/>
      <c r="FU109" s="52"/>
    </row>
    <row r="110" spans="1:177" ht="11.25" customHeight="1">
      <c r="A110" s="209"/>
      <c r="B110" s="609"/>
      <c r="C110" s="617"/>
      <c r="D110" s="611"/>
      <c r="E110" s="612"/>
      <c r="F110" s="526"/>
      <c r="G110" s="619"/>
      <c r="H110" s="620"/>
      <c r="I110" s="621"/>
      <c r="J110" s="110"/>
      <c r="K110" s="13" t="s">
        <v>186</v>
      </c>
      <c r="L110" s="97">
        <f>IF(1.2*'ET-luvun Laskenta'!D92/100*'ET-luvun Laskenta'!H41/1000*('ET-luvun Laskenta'!D93-L25-'ET-luvun Laskenta'!D91/'ET-luvun Laskenta'!D92*('ET-luvun Laskenta'!D59-L25))*N25&lt;=0,0,1.2*'ET-luvun Laskenta'!D92/100*'ET-luvun Laskenta'!H41/1000*('ET-luvun Laskenta'!D93-L25-'ET-luvun Laskenta'!D91/'ET-luvun Laskenta'!D92*('ET-luvun Laskenta'!D59-L25))*N25)</f>
        <v>0</v>
      </c>
      <c r="M110" s="13"/>
      <c r="N110" s="93">
        <f t="shared" si="17"/>
        <v>2.734466116318447</v>
      </c>
      <c r="O110" s="100">
        <f>'ET-luvun Laskenta'!D85*'ET-luvun Laskenta'!C28/((O25-L110)/M25/N25*1000)</f>
        <v>334.87188359853326</v>
      </c>
      <c r="P110" s="93">
        <f t="shared" si="15"/>
        <v>23.324792239902216</v>
      </c>
      <c r="Q110" s="93">
        <f t="shared" si="16"/>
        <v>0.3657020995767142</v>
      </c>
      <c r="R110" s="13"/>
      <c r="S110" s="52"/>
      <c r="T110" s="247"/>
      <c r="U110" s="10"/>
      <c r="V110" s="10" t="s">
        <v>339</v>
      </c>
      <c r="W110" s="10"/>
      <c r="X110" s="10"/>
      <c r="Y110" s="10"/>
      <c r="Z110" s="98">
        <f>S31</f>
        <v>10000.000000000002</v>
      </c>
      <c r="AA110" s="98">
        <f>Z110/'ET-luvun Laskenta'!C28</f>
        <v>50.00000000000001</v>
      </c>
      <c r="AB110" s="239">
        <f>AB109</f>
        <v>0.1072610002756229</v>
      </c>
      <c r="AC110" s="98">
        <f>Z110*AB110</f>
        <v>1072.610002756229</v>
      </c>
      <c r="AD110" s="622"/>
      <c r="AE110" s="622"/>
      <c r="AF110" s="622"/>
      <c r="AG110" s="622"/>
      <c r="AH110" s="622"/>
      <c r="AI110" s="622"/>
      <c r="AJ110" s="622"/>
      <c r="AK110" s="622"/>
      <c r="AL110" s="622"/>
      <c r="AM110" s="622"/>
      <c r="AN110" s="622"/>
      <c r="AO110" s="614"/>
      <c r="AQ110" s="447"/>
      <c r="AR110" s="447"/>
      <c r="AS110" s="447"/>
      <c r="AT110" s="13"/>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52"/>
      <c r="CD110" s="52"/>
      <c r="CE110" s="52"/>
      <c r="CF110" s="52"/>
      <c r="CG110" s="52"/>
      <c r="CH110" s="52"/>
      <c r="CI110" s="52"/>
      <c r="CJ110" s="52"/>
      <c r="CK110" s="52"/>
      <c r="CL110" s="52"/>
      <c r="CM110" s="52"/>
      <c r="CN110" s="52"/>
      <c r="CO110" s="52"/>
      <c r="CP110" s="52"/>
      <c r="CQ110" s="52"/>
      <c r="CR110" s="52"/>
      <c r="CS110" s="52"/>
      <c r="CT110" s="52"/>
      <c r="CU110" s="52"/>
      <c r="CV110" s="52"/>
      <c r="CW110" s="52"/>
      <c r="CX110" s="52"/>
      <c r="CY110" s="52"/>
      <c r="CZ110" s="52"/>
      <c r="DA110" s="52"/>
      <c r="DB110" s="52"/>
      <c r="DC110" s="52"/>
      <c r="DD110" s="52"/>
      <c r="DE110" s="52"/>
      <c r="DF110" s="52"/>
      <c r="DG110" s="52"/>
      <c r="DH110" s="52"/>
      <c r="DI110" s="52"/>
      <c r="DJ110" s="52"/>
      <c r="DK110" s="52"/>
      <c r="DL110" s="52"/>
      <c r="DM110" s="52"/>
      <c r="DN110" s="52"/>
      <c r="DO110" s="52"/>
      <c r="DP110" s="52"/>
      <c r="DQ110" s="52"/>
      <c r="DR110" s="52"/>
      <c r="DS110" s="52"/>
      <c r="DT110" s="52"/>
      <c r="DU110" s="52"/>
      <c r="DV110" s="52"/>
      <c r="DW110" s="52"/>
      <c r="DX110" s="52"/>
      <c r="DY110" s="52"/>
      <c r="DZ110" s="52"/>
      <c r="EA110" s="52"/>
      <c r="EB110" s="52"/>
      <c r="EC110" s="52"/>
      <c r="ED110" s="52"/>
      <c r="EE110" s="52"/>
      <c r="EF110" s="52"/>
      <c r="EG110" s="52"/>
      <c r="EH110" s="52"/>
      <c r="EI110" s="52"/>
      <c r="EJ110" s="52"/>
      <c r="EK110" s="52"/>
      <c r="EL110" s="52"/>
      <c r="EM110" s="52"/>
      <c r="EN110" s="52"/>
      <c r="EO110" s="52"/>
      <c r="EP110" s="52"/>
      <c r="EQ110" s="52"/>
      <c r="ER110" s="52"/>
      <c r="ES110" s="52"/>
      <c r="ET110" s="52"/>
      <c r="EU110" s="52"/>
      <c r="EV110" s="52"/>
      <c r="EW110" s="52"/>
      <c r="EX110" s="52"/>
      <c r="EY110" s="52"/>
      <c r="EZ110" s="52"/>
      <c r="FA110" s="52"/>
      <c r="FB110" s="52"/>
      <c r="FC110" s="52"/>
      <c r="FD110" s="52"/>
      <c r="FE110" s="52"/>
      <c r="FF110" s="52"/>
      <c r="FG110" s="52"/>
      <c r="FH110" s="52"/>
      <c r="FI110" s="52"/>
      <c r="FJ110" s="52"/>
      <c r="FK110" s="52"/>
      <c r="FL110" s="52"/>
      <c r="FM110" s="52"/>
      <c r="FN110" s="52"/>
      <c r="FO110" s="52"/>
      <c r="FP110" s="52"/>
      <c r="FQ110" s="52"/>
      <c r="FR110" s="52"/>
      <c r="FS110" s="52"/>
      <c r="FT110" s="52"/>
      <c r="FU110" s="52"/>
    </row>
    <row r="111" spans="1:177" ht="11.25" customHeight="1">
      <c r="A111" s="209"/>
      <c r="B111" s="609"/>
      <c r="C111" s="617"/>
      <c r="D111" s="611"/>
      <c r="E111" s="612"/>
      <c r="F111" s="526"/>
      <c r="G111" s="619"/>
      <c r="H111" s="620"/>
      <c r="I111" s="619"/>
      <c r="J111" s="110"/>
      <c r="K111" s="13" t="s">
        <v>187</v>
      </c>
      <c r="L111" s="97">
        <f>IF(1.2*'ET-luvun Laskenta'!D92/100*'ET-luvun Laskenta'!H41/1000*('ET-luvun Laskenta'!D93-L26-'ET-luvun Laskenta'!D91/'ET-luvun Laskenta'!D92*('ET-luvun Laskenta'!D59-L26))*N26&lt;=0,0,1.2*'ET-luvun Laskenta'!D92/100*'ET-luvun Laskenta'!H41/1000*('ET-luvun Laskenta'!D93-L26-'ET-luvun Laskenta'!D91/'ET-luvun Laskenta'!D92*('ET-luvun Laskenta'!D59-L26))*N26)</f>
        <v>0</v>
      </c>
      <c r="M111" s="13"/>
      <c r="N111" s="93">
        <f t="shared" si="17"/>
        <v>1.3464278528465128</v>
      </c>
      <c r="O111" s="100">
        <f>'ET-luvun Laskenta'!D85*'ET-luvun Laskenta'!C28/((O26-L111)/M26/N26*1000)</f>
        <v>357.9486881663225</v>
      </c>
      <c r="P111" s="93">
        <f t="shared" si="15"/>
        <v>24.86324587775483</v>
      </c>
      <c r="Q111" s="93">
        <f t="shared" si="16"/>
        <v>0.7425886029608185</v>
      </c>
      <c r="R111" s="13"/>
      <c r="S111" s="13"/>
      <c r="T111" s="10"/>
      <c r="U111" s="10"/>
      <c r="V111" s="130" t="s">
        <v>526</v>
      </c>
      <c r="W111" s="130"/>
      <c r="X111" s="130"/>
      <c r="Y111" s="306"/>
      <c r="Z111" s="306">
        <f>SUM(Z109:Z110)</f>
        <v>13490.674984897396</v>
      </c>
      <c r="AA111" s="305">
        <f>Z111/'ET-luvun Laskenta'!C28</f>
        <v>67.45337492448698</v>
      </c>
      <c r="AB111" s="239"/>
      <c r="AC111" s="138">
        <f>SUM(AC109:AC110)</f>
        <v>1447.0232932734184</v>
      </c>
      <c r="AD111" s="526"/>
      <c r="AE111" s="526"/>
      <c r="AF111" s="526"/>
      <c r="AG111" s="526"/>
      <c r="AH111" s="526"/>
      <c r="AI111" s="526"/>
      <c r="AJ111" s="526"/>
      <c r="AK111" s="526"/>
      <c r="AL111" s="526"/>
      <c r="AM111" s="526"/>
      <c r="AN111" s="526"/>
      <c r="AO111" s="526"/>
      <c r="AP111" s="52" t="s">
        <v>730</v>
      </c>
      <c r="AQ111" s="447"/>
      <c r="AR111" s="447"/>
      <c r="AS111" s="447"/>
      <c r="AT111" s="13"/>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52"/>
      <c r="CD111" s="52"/>
      <c r="CE111" s="52"/>
      <c r="CF111" s="52"/>
      <c r="CG111" s="52"/>
      <c r="CH111" s="52"/>
      <c r="CI111" s="52"/>
      <c r="CJ111" s="52"/>
      <c r="CK111" s="52"/>
      <c r="CL111" s="52"/>
      <c r="CM111" s="52"/>
      <c r="CN111" s="52"/>
      <c r="CO111" s="52"/>
      <c r="CP111" s="52"/>
      <c r="CQ111" s="52"/>
      <c r="CR111" s="52"/>
      <c r="CS111" s="52"/>
      <c r="CT111" s="52"/>
      <c r="CU111" s="52"/>
      <c r="CV111" s="52"/>
      <c r="CW111" s="52"/>
      <c r="CX111" s="52"/>
      <c r="CY111" s="52"/>
      <c r="CZ111" s="52"/>
      <c r="DA111" s="52"/>
      <c r="DB111" s="52"/>
      <c r="DC111" s="52"/>
      <c r="DD111" s="52"/>
      <c r="DE111" s="52"/>
      <c r="DF111" s="52"/>
      <c r="DG111" s="52"/>
      <c r="DH111" s="52"/>
      <c r="DI111" s="52"/>
      <c r="DJ111" s="52"/>
      <c r="DK111" s="52"/>
      <c r="DL111" s="52"/>
      <c r="DM111" s="52"/>
      <c r="DN111" s="52"/>
      <c r="DO111" s="52"/>
      <c r="DP111" s="52"/>
      <c r="DQ111" s="52"/>
      <c r="DR111" s="52"/>
      <c r="DS111" s="52"/>
      <c r="DT111" s="52"/>
      <c r="DU111" s="52"/>
      <c r="DV111" s="52"/>
      <c r="DW111" s="52"/>
      <c r="DX111" s="52"/>
      <c r="DY111" s="52"/>
      <c r="DZ111" s="52"/>
      <c r="EA111" s="52"/>
      <c r="EB111" s="52"/>
      <c r="EC111" s="52"/>
      <c r="ED111" s="52"/>
      <c r="EE111" s="52"/>
      <c r="EF111" s="52"/>
      <c r="EG111" s="52"/>
      <c r="EH111" s="52"/>
      <c r="EI111" s="52"/>
      <c r="EJ111" s="52"/>
      <c r="EK111" s="52"/>
      <c r="EL111" s="52"/>
      <c r="EM111" s="52"/>
      <c r="EN111" s="52"/>
      <c r="EO111" s="52"/>
      <c r="EP111" s="52"/>
      <c r="EQ111" s="52"/>
      <c r="ER111" s="52"/>
      <c r="ES111" s="52"/>
      <c r="ET111" s="52"/>
      <c r="EU111" s="52"/>
      <c r="EV111" s="52"/>
      <c r="EW111" s="52"/>
      <c r="EX111" s="52"/>
      <c r="EY111" s="52"/>
      <c r="EZ111" s="52"/>
      <c r="FA111" s="52"/>
      <c r="FB111" s="52"/>
      <c r="FC111" s="52"/>
      <c r="FD111" s="52"/>
      <c r="FE111" s="52"/>
      <c r="FF111" s="52"/>
      <c r="FG111" s="52"/>
      <c r="FH111" s="52"/>
      <c r="FI111" s="52"/>
      <c r="FJ111" s="52"/>
      <c r="FK111" s="52"/>
      <c r="FL111" s="52"/>
      <c r="FM111" s="52"/>
      <c r="FN111" s="52"/>
      <c r="FO111" s="52"/>
      <c r="FP111" s="52"/>
      <c r="FQ111" s="52"/>
      <c r="FR111" s="52"/>
      <c r="FS111" s="52"/>
      <c r="FT111" s="52"/>
      <c r="FU111" s="52"/>
    </row>
    <row r="112" spans="1:177" ht="11.25" customHeight="1">
      <c r="A112" s="209"/>
      <c r="B112" s="623"/>
      <c r="C112" s="617"/>
      <c r="D112" s="611"/>
      <c r="E112" s="612"/>
      <c r="F112" s="526"/>
      <c r="G112" s="619"/>
      <c r="H112" s="620"/>
      <c r="I112" s="619"/>
      <c r="J112" s="110"/>
      <c r="K112" s="13" t="s">
        <v>188</v>
      </c>
      <c r="L112" s="97">
        <f>IF(1.2*'ET-luvun Laskenta'!D92/100*'ET-luvun Laskenta'!H41/1000*('ET-luvun Laskenta'!D93-L27-'ET-luvun Laskenta'!D91/'ET-luvun Laskenta'!D92*('ET-luvun Laskenta'!D59-L27))*N27&lt;=0,0,1.2*'ET-luvun Laskenta'!D92/100*'ET-luvun Laskenta'!H41/1000*('ET-luvun Laskenta'!D93-L27-'ET-luvun Laskenta'!D91/'ET-luvun Laskenta'!D92*('ET-luvun Laskenta'!D59-L27))*N27)</f>
        <v>2.586020000000016</v>
      </c>
      <c r="M112" s="13"/>
      <c r="N112" s="93">
        <f t="shared" si="17"/>
        <v>1.0814713164596992</v>
      </c>
      <c r="O112" s="100">
        <f>'ET-luvun Laskenta'!D85*'ET-luvun Laskenta'!C28/((O27-L112)/M27/N27*1000)</f>
        <v>365.43727803168275</v>
      </c>
      <c r="P112" s="93">
        <f t="shared" si="15"/>
        <v>25.362485202112182</v>
      </c>
      <c r="Q112" s="93">
        <f t="shared" si="16"/>
        <v>0.9137221451727</v>
      </c>
      <c r="R112" s="13"/>
      <c r="S112" s="13"/>
      <c r="T112" s="10"/>
      <c r="U112" s="10"/>
      <c r="V112" s="10"/>
      <c r="W112" s="10"/>
      <c r="X112" s="10"/>
      <c r="Y112" s="98"/>
      <c r="Z112" s="98"/>
      <c r="AA112" s="98"/>
      <c r="AB112" s="98"/>
      <c r="AC112" s="98"/>
      <c r="AD112" s="526"/>
      <c r="AE112" s="526"/>
      <c r="AF112" s="526"/>
      <c r="AG112" s="526"/>
      <c r="AH112" s="526"/>
      <c r="AI112" s="526"/>
      <c r="AJ112" s="526"/>
      <c r="AK112" s="526"/>
      <c r="AL112" s="526"/>
      <c r="AM112" s="526"/>
      <c r="AN112" s="526"/>
      <c r="AO112" s="622"/>
      <c r="AP112" s="208" t="s">
        <v>731</v>
      </c>
      <c r="AQ112" s="447"/>
      <c r="AR112" s="447"/>
      <c r="AS112" s="447"/>
      <c r="AT112" s="13"/>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52"/>
      <c r="CD112" s="52"/>
      <c r="CE112" s="52"/>
      <c r="CF112" s="52"/>
      <c r="CG112" s="52"/>
      <c r="CH112" s="52"/>
      <c r="CI112" s="52"/>
      <c r="CJ112" s="52"/>
      <c r="CK112" s="52"/>
      <c r="CL112" s="52"/>
      <c r="CM112" s="52"/>
      <c r="CN112" s="52"/>
      <c r="CO112" s="52"/>
      <c r="CP112" s="52"/>
      <c r="CQ112" s="52"/>
      <c r="CR112" s="52"/>
      <c r="CS112" s="52"/>
      <c r="CT112" s="52"/>
      <c r="CU112" s="52"/>
      <c r="CV112" s="52"/>
      <c r="CW112" s="52"/>
      <c r="CX112" s="52"/>
      <c r="CY112" s="52"/>
      <c r="CZ112" s="52"/>
      <c r="DA112" s="52"/>
      <c r="DB112" s="52"/>
      <c r="DC112" s="52"/>
      <c r="DD112" s="52"/>
      <c r="DE112" s="52"/>
      <c r="DF112" s="52"/>
      <c r="DG112" s="52"/>
      <c r="DH112" s="52"/>
      <c r="DI112" s="52"/>
      <c r="DJ112" s="52"/>
      <c r="DK112" s="52"/>
      <c r="DL112" s="52"/>
      <c r="DM112" s="52"/>
      <c r="DN112" s="52"/>
      <c r="DO112" s="52"/>
      <c r="DP112" s="52"/>
      <c r="DQ112" s="52"/>
      <c r="DR112" s="52"/>
      <c r="DS112" s="52"/>
      <c r="DT112" s="52"/>
      <c r="DU112" s="52"/>
      <c r="DV112" s="52"/>
      <c r="DW112" s="52"/>
      <c r="DX112" s="52"/>
      <c r="DY112" s="52"/>
      <c r="DZ112" s="52"/>
      <c r="EA112" s="52"/>
      <c r="EB112" s="52"/>
      <c r="EC112" s="52"/>
      <c r="ED112" s="52"/>
      <c r="EE112" s="52"/>
      <c r="EF112" s="52"/>
      <c r="EG112" s="52"/>
      <c r="EH112" s="52"/>
      <c r="EI112" s="52"/>
      <c r="EJ112" s="52"/>
      <c r="EK112" s="52"/>
      <c r="EL112" s="52"/>
      <c r="EM112" s="52"/>
      <c r="EN112" s="52"/>
      <c r="EO112" s="52"/>
      <c r="EP112" s="52"/>
      <c r="EQ112" s="52"/>
      <c r="ER112" s="52"/>
      <c r="ES112" s="52"/>
      <c r="ET112" s="52"/>
      <c r="EU112" s="52"/>
      <c r="EV112" s="52"/>
      <c r="EW112" s="52"/>
      <c r="EX112" s="52"/>
      <c r="EY112" s="52"/>
      <c r="EZ112" s="52"/>
      <c r="FA112" s="52"/>
      <c r="FB112" s="52"/>
      <c r="FC112" s="52"/>
      <c r="FD112" s="52"/>
      <c r="FE112" s="52"/>
      <c r="FF112" s="52"/>
      <c r="FG112" s="52"/>
      <c r="FH112" s="52"/>
      <c r="FI112" s="52"/>
      <c r="FJ112" s="52"/>
      <c r="FK112" s="52"/>
      <c r="FL112" s="52"/>
      <c r="FM112" s="52"/>
      <c r="FN112" s="52"/>
      <c r="FO112" s="52"/>
      <c r="FP112" s="52"/>
      <c r="FQ112" s="52"/>
      <c r="FR112" s="52"/>
      <c r="FS112" s="52"/>
      <c r="FT112" s="52"/>
      <c r="FU112" s="52"/>
    </row>
    <row r="113" spans="1:177" ht="11.25" customHeight="1">
      <c r="A113" s="209"/>
      <c r="B113" s="623"/>
      <c r="C113" s="617"/>
      <c r="D113" s="611"/>
      <c r="E113" s="612"/>
      <c r="F113" s="624"/>
      <c r="G113" s="625"/>
      <c r="H113" s="626"/>
      <c r="I113" s="625"/>
      <c r="J113" s="110"/>
      <c r="K113" s="13" t="s">
        <v>189</v>
      </c>
      <c r="L113" s="97">
        <f>IF(1.2*'ET-luvun Laskenta'!D92/100*'ET-luvun Laskenta'!H41/1000*('ET-luvun Laskenta'!D93-L28-'ET-luvun Laskenta'!D91/'ET-luvun Laskenta'!D92*('ET-luvun Laskenta'!D59-L28))*N28&lt;=0,0,1.2*'ET-luvun Laskenta'!D92/100*'ET-luvun Laskenta'!H41/1000*('ET-luvun Laskenta'!D93-L28-'ET-luvun Laskenta'!D91/'ET-luvun Laskenta'!D92*('ET-luvun Laskenta'!D59-L28))*N28)</f>
        <v>24.695760000000035</v>
      </c>
      <c r="M113" s="13"/>
      <c r="N113" s="93">
        <f t="shared" si="17"/>
        <v>0.8712421566500524</v>
      </c>
      <c r="O113" s="100">
        <f>'ET-luvun Laskenta'!D85*'ET-luvun Laskenta'!C28/((O28-L113)/M28/N28*1000)</f>
        <v>372.0447570982866</v>
      </c>
      <c r="P113" s="93">
        <f t="shared" si="15"/>
        <v>25.80298380655244</v>
      </c>
      <c r="Q113" s="93">
        <f t="shared" si="16"/>
        <v>0.9962319875747072</v>
      </c>
      <c r="R113" s="13"/>
      <c r="S113" s="13"/>
      <c r="T113" s="13"/>
      <c r="U113" s="10"/>
      <c r="V113" s="10" t="s">
        <v>313</v>
      </c>
      <c r="W113" s="10"/>
      <c r="X113" s="10"/>
      <c r="Y113" s="98"/>
      <c r="Z113" s="98">
        <f>Z84/4</f>
        <v>1942.2831098973952</v>
      </c>
      <c r="AA113" s="98">
        <f>Z113/'ET-luvun Laskenta'!C28</f>
        <v>9.711415549486976</v>
      </c>
      <c r="AB113" s="194">
        <f>AB109</f>
        <v>0.1072610002756229</v>
      </c>
      <c r="AC113" s="98">
        <f>Z113*AB113</f>
        <v>208.3312291860422</v>
      </c>
      <c r="AD113" s="624"/>
      <c r="AE113" s="624"/>
      <c r="AF113" s="624"/>
      <c r="AG113" s="624"/>
      <c r="AH113" s="624"/>
      <c r="AI113" s="624"/>
      <c r="AJ113" s="624"/>
      <c r="AK113" s="624"/>
      <c r="AL113" s="624"/>
      <c r="AM113" s="624"/>
      <c r="AN113" s="624"/>
      <c r="AO113" s="624"/>
      <c r="AQ113" s="447"/>
      <c r="AR113" s="447"/>
      <c r="AS113" s="447"/>
      <c r="AT113" s="13"/>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52"/>
      <c r="CD113" s="52"/>
      <c r="CE113" s="52"/>
      <c r="CF113" s="52"/>
      <c r="CG113" s="52"/>
      <c r="CH113" s="52"/>
      <c r="CI113" s="52"/>
      <c r="CJ113" s="52"/>
      <c r="CK113" s="52"/>
      <c r="CL113" s="52"/>
      <c r="CM113" s="52"/>
      <c r="CN113" s="52"/>
      <c r="CO113" s="52"/>
      <c r="CP113" s="52"/>
      <c r="CQ113" s="52"/>
      <c r="CR113" s="52"/>
      <c r="CS113" s="52"/>
      <c r="CT113" s="52"/>
      <c r="CU113" s="52"/>
      <c r="CV113" s="52"/>
      <c r="CW113" s="52"/>
      <c r="CX113" s="52"/>
      <c r="CY113" s="52"/>
      <c r="CZ113" s="52"/>
      <c r="DA113" s="52"/>
      <c r="DB113" s="52"/>
      <c r="DC113" s="52"/>
      <c r="DD113" s="52"/>
      <c r="DE113" s="52"/>
      <c r="DF113" s="52"/>
      <c r="DG113" s="52"/>
      <c r="DH113" s="52"/>
      <c r="DI113" s="52"/>
      <c r="DJ113" s="52"/>
      <c r="DK113" s="52"/>
      <c r="DL113" s="52"/>
      <c r="DM113" s="52"/>
      <c r="DN113" s="52"/>
      <c r="DO113" s="52"/>
      <c r="DP113" s="52"/>
      <c r="DQ113" s="52"/>
      <c r="DR113" s="52"/>
      <c r="DS113" s="52"/>
      <c r="DT113" s="52"/>
      <c r="DU113" s="52"/>
      <c r="DV113" s="52"/>
      <c r="DW113" s="52"/>
      <c r="DX113" s="52"/>
      <c r="DY113" s="52"/>
      <c r="DZ113" s="52"/>
      <c r="EA113" s="52"/>
      <c r="EB113" s="52"/>
      <c r="EC113" s="52"/>
      <c r="ED113" s="52"/>
      <c r="EE113" s="52"/>
      <c r="EF113" s="52"/>
      <c r="EG113" s="52"/>
      <c r="EH113" s="52"/>
      <c r="EI113" s="52"/>
      <c r="EJ113" s="52"/>
      <c r="EK113" s="52"/>
      <c r="EL113" s="52"/>
      <c r="EM113" s="52"/>
      <c r="EN113" s="52"/>
      <c r="EO113" s="52"/>
      <c r="EP113" s="52"/>
      <c r="EQ113" s="52"/>
      <c r="ER113" s="52"/>
      <c r="ES113" s="52"/>
      <c r="ET113" s="52"/>
      <c r="EU113" s="52"/>
      <c r="EV113" s="52"/>
      <c r="EW113" s="52"/>
      <c r="EX113" s="52"/>
      <c r="EY113" s="52"/>
      <c r="EZ113" s="52"/>
      <c r="FA113" s="52"/>
      <c r="FB113" s="52"/>
      <c r="FC113" s="52"/>
      <c r="FD113" s="52"/>
      <c r="FE113" s="52"/>
      <c r="FF113" s="52"/>
      <c r="FG113" s="52"/>
      <c r="FH113" s="52"/>
      <c r="FI113" s="52"/>
      <c r="FJ113" s="52"/>
      <c r="FK113" s="52"/>
      <c r="FL113" s="52"/>
      <c r="FM113" s="52"/>
      <c r="FN113" s="52"/>
      <c r="FO113" s="52"/>
      <c r="FP113" s="52"/>
      <c r="FQ113" s="52"/>
      <c r="FR113" s="52"/>
      <c r="FS113" s="52"/>
      <c r="FT113" s="52"/>
      <c r="FU113" s="52"/>
    </row>
    <row r="114" spans="1:177" ht="11.25" customHeight="1">
      <c r="A114" s="209"/>
      <c r="B114" s="623"/>
      <c r="C114" s="617"/>
      <c r="D114" s="611"/>
      <c r="E114" s="612"/>
      <c r="F114" s="627"/>
      <c r="G114" s="625"/>
      <c r="H114" s="626"/>
      <c r="I114" s="625"/>
      <c r="J114" s="110"/>
      <c r="K114" s="13" t="s">
        <v>190</v>
      </c>
      <c r="L114" s="97">
        <f>IF(1.2*'ET-luvun Laskenta'!D92/100*'ET-luvun Laskenta'!H41/1000*('ET-luvun Laskenta'!D93-L29-'ET-luvun Laskenta'!D91/'ET-luvun Laskenta'!D92*('ET-luvun Laskenta'!D59-L29))*N29&lt;=0,0,1.2*'ET-luvun Laskenta'!D92/100*'ET-luvun Laskenta'!H41/1000*('ET-luvun Laskenta'!D93-L29-'ET-luvun Laskenta'!D91/'ET-luvun Laskenta'!D92*('ET-luvun Laskenta'!D59-L29))*N29)</f>
        <v>73.28834000000002</v>
      </c>
      <c r="M114" s="13"/>
      <c r="N114" s="93">
        <f t="shared" si="17"/>
        <v>0.701764837349821</v>
      </c>
      <c r="O114" s="100">
        <f>'ET-luvun Laskenta'!D85*'ET-luvun Laskenta'!C28/((O29-L114)/M29/N29*1000)</f>
        <v>381.0354247944429</v>
      </c>
      <c r="P114" s="93">
        <f t="shared" si="15"/>
        <v>26.40236165296286</v>
      </c>
      <c r="Q114" s="93">
        <f t="shared" si="16"/>
        <v>0.9999740772882317</v>
      </c>
      <c r="R114" s="13"/>
      <c r="S114" s="13"/>
      <c r="T114" s="13"/>
      <c r="U114" s="247"/>
      <c r="V114" s="10" t="s">
        <v>348</v>
      </c>
      <c r="W114" s="10"/>
      <c r="X114" s="10"/>
      <c r="Y114" s="98"/>
      <c r="Z114" s="98">
        <f>Z90/4</f>
        <v>1548.391875</v>
      </c>
      <c r="AA114" s="98">
        <f>Z114/'ET-luvun Laskenta'!C28</f>
        <v>7.741959375</v>
      </c>
      <c r="AB114" s="194">
        <f>AB109</f>
        <v>0.1072610002756229</v>
      </c>
      <c r="AC114" s="98">
        <f>Z114*AB114</f>
        <v>166.08206133114726</v>
      </c>
      <c r="AD114" s="526"/>
      <c r="AE114" s="624"/>
      <c r="AF114" s="624"/>
      <c r="AG114" s="624"/>
      <c r="AH114" s="624"/>
      <c r="AI114" s="624"/>
      <c r="AJ114" s="624"/>
      <c r="AK114" s="624"/>
      <c r="AL114" s="624"/>
      <c r="AM114" s="624"/>
      <c r="AN114" s="624"/>
      <c r="AO114" s="624"/>
      <c r="AQ114" s="447"/>
      <c r="AR114" s="447"/>
      <c r="AS114" s="447"/>
      <c r="AT114" s="13"/>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52"/>
      <c r="CD114" s="52"/>
      <c r="CE114" s="52"/>
      <c r="CF114" s="52"/>
      <c r="CG114" s="52"/>
      <c r="CH114" s="52"/>
      <c r="CI114" s="52"/>
      <c r="CJ114" s="52"/>
      <c r="CK114" s="52"/>
      <c r="CL114" s="52"/>
      <c r="CM114" s="52"/>
      <c r="CN114" s="52"/>
      <c r="CO114" s="52"/>
      <c r="CP114" s="52"/>
      <c r="CQ114" s="52"/>
      <c r="CR114" s="52"/>
      <c r="CS114" s="52"/>
      <c r="CT114" s="52"/>
      <c r="CU114" s="52"/>
      <c r="CV114" s="52"/>
      <c r="CW114" s="52"/>
      <c r="CX114" s="52"/>
      <c r="CY114" s="52"/>
      <c r="CZ114" s="52"/>
      <c r="DA114" s="52"/>
      <c r="DB114" s="52"/>
      <c r="DC114" s="52"/>
      <c r="DD114" s="52"/>
      <c r="DE114" s="52"/>
      <c r="DF114" s="52"/>
      <c r="DG114" s="52"/>
      <c r="DH114" s="52"/>
      <c r="DI114" s="52"/>
      <c r="DJ114" s="52"/>
      <c r="DK114" s="52"/>
      <c r="DL114" s="52"/>
      <c r="DM114" s="52"/>
      <c r="DN114" s="52"/>
      <c r="DO114" s="52"/>
      <c r="DP114" s="52"/>
      <c r="DQ114" s="52"/>
      <c r="DR114" s="52"/>
      <c r="DS114" s="52"/>
      <c r="DT114" s="52"/>
      <c r="DU114" s="52"/>
      <c r="DV114" s="52"/>
      <c r="DW114" s="52"/>
      <c r="DX114" s="52"/>
      <c r="DY114" s="52"/>
      <c r="DZ114" s="52"/>
      <c r="EA114" s="52"/>
      <c r="EB114" s="52"/>
      <c r="EC114" s="52"/>
      <c r="ED114" s="52"/>
      <c r="EE114" s="52"/>
      <c r="EF114" s="52"/>
      <c r="EG114" s="52"/>
      <c r="EH114" s="52"/>
      <c r="EI114" s="52"/>
      <c r="EJ114" s="52"/>
      <c r="EK114" s="52"/>
      <c r="EL114" s="52"/>
      <c r="EM114" s="52"/>
      <c r="EN114" s="52"/>
      <c r="EO114" s="52"/>
      <c r="EP114" s="52"/>
      <c r="EQ114" s="52"/>
      <c r="ER114" s="52"/>
      <c r="ES114" s="52"/>
      <c r="ET114" s="52"/>
      <c r="EU114" s="52"/>
      <c r="EV114" s="52"/>
      <c r="EW114" s="52"/>
      <c r="EX114" s="52"/>
      <c r="EY114" s="52"/>
      <c r="EZ114" s="52"/>
      <c r="FA114" s="52"/>
      <c r="FB114" s="52"/>
      <c r="FC114" s="52"/>
      <c r="FD114" s="52"/>
      <c r="FE114" s="52"/>
      <c r="FF114" s="52"/>
      <c r="FG114" s="52"/>
      <c r="FH114" s="52"/>
      <c r="FI114" s="52"/>
      <c r="FJ114" s="52"/>
      <c r="FK114" s="52"/>
      <c r="FL114" s="52"/>
      <c r="FM114" s="52"/>
      <c r="FN114" s="52"/>
      <c r="FO114" s="52"/>
      <c r="FP114" s="52"/>
      <c r="FQ114" s="52"/>
      <c r="FR114" s="52"/>
      <c r="FS114" s="52"/>
      <c r="FT114" s="52"/>
      <c r="FU114" s="52"/>
    </row>
    <row r="115" spans="1:177" ht="11.25" customHeight="1">
      <c r="A115" s="215"/>
      <c r="B115" s="628"/>
      <c r="C115" s="619"/>
      <c r="D115" s="530"/>
      <c r="E115" s="530"/>
      <c r="F115" s="530"/>
      <c r="G115" s="619"/>
      <c r="H115" s="620"/>
      <c r="I115" s="619"/>
      <c r="J115" s="110"/>
      <c r="K115" s="13"/>
      <c r="L115" s="97"/>
      <c r="M115" s="13"/>
      <c r="N115" s="93"/>
      <c r="O115" s="100"/>
      <c r="P115" s="93"/>
      <c r="Q115" s="93"/>
      <c r="R115" s="13"/>
      <c r="S115" s="13"/>
      <c r="T115" s="13"/>
      <c r="U115" s="10"/>
      <c r="V115" s="10"/>
      <c r="W115" s="10"/>
      <c r="X115" s="10"/>
      <c r="Y115" s="10"/>
      <c r="Z115" s="10"/>
      <c r="AA115" s="10"/>
      <c r="AB115" s="10"/>
      <c r="AC115" s="10"/>
      <c r="AD115" s="652"/>
      <c r="AE115" s="624"/>
      <c r="AF115" s="624"/>
      <c r="AG115" s="624"/>
      <c r="AH115" s="624"/>
      <c r="AI115" s="624"/>
      <c r="AJ115" s="624"/>
      <c r="AK115" s="624"/>
      <c r="AL115" s="624"/>
      <c r="AM115" s="624"/>
      <c r="AN115" s="624"/>
      <c r="AO115" s="624"/>
      <c r="AP115" s="447"/>
      <c r="AQ115" s="447"/>
      <c r="AR115" s="447"/>
      <c r="AS115" s="447"/>
      <c r="AT115" s="13"/>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52"/>
      <c r="CD115" s="52"/>
      <c r="CE115" s="52"/>
      <c r="CF115" s="52"/>
      <c r="CG115" s="52"/>
      <c r="CH115" s="52"/>
      <c r="CI115" s="52"/>
      <c r="CJ115" s="52"/>
      <c r="CK115" s="52"/>
      <c r="CL115" s="52"/>
      <c r="CM115" s="52"/>
      <c r="CN115" s="52"/>
      <c r="CO115" s="52"/>
      <c r="CP115" s="52"/>
      <c r="CQ115" s="52"/>
      <c r="CR115" s="52"/>
      <c r="CS115" s="52"/>
      <c r="CT115" s="52"/>
      <c r="CU115" s="52"/>
      <c r="CV115" s="52"/>
      <c r="CW115" s="52"/>
      <c r="CX115" s="52"/>
      <c r="CY115" s="52"/>
      <c r="CZ115" s="52"/>
      <c r="DA115" s="52"/>
      <c r="DB115" s="52"/>
      <c r="DC115" s="52"/>
      <c r="DD115" s="52"/>
      <c r="DE115" s="52"/>
      <c r="DF115" s="52"/>
      <c r="DG115" s="52"/>
      <c r="DH115" s="52"/>
      <c r="DI115" s="52"/>
      <c r="DJ115" s="52"/>
      <c r="DK115" s="52"/>
      <c r="DL115" s="52"/>
      <c r="DM115" s="52"/>
      <c r="DN115" s="52"/>
      <c r="DO115" s="52"/>
      <c r="DP115" s="52"/>
      <c r="DQ115" s="52"/>
      <c r="DR115" s="52"/>
      <c r="DS115" s="52"/>
      <c r="DT115" s="52"/>
      <c r="DU115" s="52"/>
      <c r="DV115" s="52"/>
      <c r="DW115" s="52"/>
      <c r="DX115" s="52"/>
      <c r="DY115" s="52"/>
      <c r="DZ115" s="52"/>
      <c r="EA115" s="52"/>
      <c r="EB115" s="52"/>
      <c r="EC115" s="52"/>
      <c r="ED115" s="52"/>
      <c r="EE115" s="52"/>
      <c r="EF115" s="52"/>
      <c r="EG115" s="52"/>
      <c r="EH115" s="52"/>
      <c r="EI115" s="52"/>
      <c r="EJ115" s="52"/>
      <c r="EK115" s="52"/>
      <c r="EL115" s="52"/>
      <c r="EM115" s="52"/>
      <c r="EN115" s="52"/>
      <c r="EO115" s="52"/>
      <c r="EP115" s="52"/>
      <c r="EQ115" s="52"/>
      <c r="ER115" s="52"/>
      <c r="ES115" s="52"/>
      <c r="ET115" s="52"/>
      <c r="EU115" s="52"/>
      <c r="EV115" s="52"/>
      <c r="EW115" s="52"/>
      <c r="EX115" s="52"/>
      <c r="EY115" s="52"/>
      <c r="EZ115" s="52"/>
      <c r="FA115" s="52"/>
      <c r="FB115" s="52"/>
      <c r="FC115" s="52"/>
      <c r="FD115" s="52"/>
      <c r="FE115" s="52"/>
      <c r="FF115" s="52"/>
      <c r="FG115" s="52"/>
      <c r="FH115" s="52"/>
      <c r="FI115" s="52"/>
      <c r="FJ115" s="52"/>
      <c r="FK115" s="52"/>
      <c r="FL115" s="52"/>
      <c r="FM115" s="52"/>
      <c r="FN115" s="52"/>
      <c r="FO115" s="52"/>
      <c r="FP115" s="52"/>
      <c r="FQ115" s="52"/>
      <c r="FR115" s="52"/>
      <c r="FS115" s="52"/>
      <c r="FT115" s="52"/>
      <c r="FU115" s="52"/>
    </row>
    <row r="116" spans="1:177" ht="11.25" customHeight="1">
      <c r="A116" s="309"/>
      <c r="B116" s="629"/>
      <c r="C116" s="630"/>
      <c r="D116" s="631"/>
      <c r="E116" s="632"/>
      <c r="F116" s="632"/>
      <c r="G116" s="619"/>
      <c r="H116" s="620"/>
      <c r="I116" s="633"/>
      <c r="J116" s="88"/>
      <c r="K116" s="13" t="s">
        <v>163</v>
      </c>
      <c r="L116" s="97">
        <f>SUM(L103:L115)</f>
        <v>405.7612440000001</v>
      </c>
      <c r="M116" s="13"/>
      <c r="N116" s="93"/>
      <c r="O116" s="100"/>
      <c r="P116" s="93"/>
      <c r="Q116" s="93"/>
      <c r="R116" s="13"/>
      <c r="S116" s="13"/>
      <c r="T116" s="10"/>
      <c r="U116" s="13"/>
      <c r="V116" s="13"/>
      <c r="W116" s="13"/>
      <c r="X116" s="13"/>
      <c r="Y116" s="13"/>
      <c r="Z116" s="13"/>
      <c r="AA116" s="13"/>
      <c r="AB116" s="13"/>
      <c r="AC116" s="13"/>
      <c r="AD116" s="653"/>
      <c r="AE116" s="637"/>
      <c r="AF116" s="637"/>
      <c r="AG116" s="637"/>
      <c r="AH116" s="637"/>
      <c r="AI116" s="637"/>
      <c r="AJ116" s="637"/>
      <c r="AK116" s="637"/>
      <c r="AL116" s="637"/>
      <c r="AM116" s="637"/>
      <c r="AN116" s="637"/>
      <c r="AO116" s="637"/>
      <c r="AP116" s="533"/>
      <c r="AQ116" s="533"/>
      <c r="AR116" s="533"/>
      <c r="AS116" s="533"/>
      <c r="AT116" s="624"/>
      <c r="AU116" s="618"/>
      <c r="AV116" s="618"/>
      <c r="AW116" s="618"/>
      <c r="AX116" s="618"/>
      <c r="AY116" s="618"/>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52"/>
      <c r="CD116" s="52"/>
      <c r="CE116" s="52"/>
      <c r="CF116" s="52"/>
      <c r="CG116" s="52"/>
      <c r="CH116" s="52"/>
      <c r="CI116" s="52"/>
      <c r="CJ116" s="52"/>
      <c r="CK116" s="52"/>
      <c r="CL116" s="52"/>
      <c r="CM116" s="52"/>
      <c r="CN116" s="52"/>
      <c r="CO116" s="52"/>
      <c r="CP116" s="52"/>
      <c r="CQ116" s="52"/>
      <c r="CR116" s="52"/>
      <c r="CS116" s="52"/>
      <c r="CT116" s="52"/>
      <c r="CU116" s="52"/>
      <c r="CV116" s="52"/>
      <c r="CW116" s="52"/>
      <c r="CX116" s="52"/>
      <c r="CY116" s="52"/>
      <c r="CZ116" s="52"/>
      <c r="DA116" s="52"/>
      <c r="DB116" s="52"/>
      <c r="DC116" s="52"/>
      <c r="DD116" s="52"/>
      <c r="DE116" s="52"/>
      <c r="DF116" s="52"/>
      <c r="DG116" s="52"/>
      <c r="DH116" s="52"/>
      <c r="DI116" s="52"/>
      <c r="DJ116" s="52"/>
      <c r="DK116" s="52"/>
      <c r="DL116" s="52"/>
      <c r="DM116" s="52"/>
      <c r="DN116" s="52"/>
      <c r="DO116" s="52"/>
      <c r="DP116" s="52"/>
      <c r="DQ116" s="52"/>
      <c r="DR116" s="52"/>
      <c r="DS116" s="52"/>
      <c r="DT116" s="52"/>
      <c r="DU116" s="52"/>
      <c r="DV116" s="52"/>
      <c r="DW116" s="52"/>
      <c r="DX116" s="52"/>
      <c r="DY116" s="52"/>
      <c r="DZ116" s="52"/>
      <c r="EA116" s="52"/>
      <c r="EB116" s="52"/>
      <c r="EC116" s="52"/>
      <c r="ED116" s="52"/>
      <c r="EE116" s="52"/>
      <c r="EF116" s="52"/>
      <c r="EG116" s="52"/>
      <c r="EH116" s="52"/>
      <c r="EI116" s="52"/>
      <c r="EJ116" s="52"/>
      <c r="EK116" s="52"/>
      <c r="EL116" s="52"/>
      <c r="EM116" s="52"/>
      <c r="EN116" s="52"/>
      <c r="EO116" s="52"/>
      <c r="EP116" s="52"/>
      <c r="EQ116" s="52"/>
      <c r="ER116" s="52"/>
      <c r="ES116" s="52"/>
      <c r="ET116" s="52"/>
      <c r="EU116" s="52"/>
      <c r="EV116" s="52"/>
      <c r="EW116" s="52"/>
      <c r="EX116" s="52"/>
      <c r="EY116" s="52"/>
      <c r="EZ116" s="52"/>
      <c r="FA116" s="52"/>
      <c r="FB116" s="52"/>
      <c r="FC116" s="52"/>
      <c r="FD116" s="52"/>
      <c r="FE116" s="52"/>
      <c r="FF116" s="52"/>
      <c r="FG116" s="52"/>
      <c r="FH116" s="52"/>
      <c r="FI116" s="52"/>
      <c r="FJ116" s="52"/>
      <c r="FK116" s="52"/>
      <c r="FL116" s="52"/>
      <c r="FM116" s="52"/>
      <c r="FN116" s="52"/>
      <c r="FO116" s="52"/>
      <c r="FP116" s="52"/>
      <c r="FQ116" s="52"/>
      <c r="FR116" s="52"/>
      <c r="FS116" s="52"/>
      <c r="FT116" s="52"/>
      <c r="FU116" s="52"/>
    </row>
    <row r="117" spans="1:177" ht="11.25" customHeight="1">
      <c r="A117" s="309"/>
      <c r="B117" s="629"/>
      <c r="C117" s="630"/>
      <c r="D117" s="631"/>
      <c r="E117" s="632"/>
      <c r="F117" s="632"/>
      <c r="G117" s="619"/>
      <c r="H117" s="620"/>
      <c r="I117" s="633"/>
      <c r="J117" s="88"/>
      <c r="K117" s="52"/>
      <c r="L117" s="13"/>
      <c r="M117" s="13"/>
      <c r="N117" s="13"/>
      <c r="O117" s="13"/>
      <c r="P117" s="13"/>
      <c r="Q117" s="13"/>
      <c r="R117" s="13"/>
      <c r="S117" s="13"/>
      <c r="T117" s="10"/>
      <c r="U117" s="13"/>
      <c r="V117" s="166" t="s">
        <v>315</v>
      </c>
      <c r="W117" s="166"/>
      <c r="X117" s="195"/>
      <c r="Y117" s="195" t="s">
        <v>163</v>
      </c>
      <c r="Z117" s="195"/>
      <c r="AA117" s="195"/>
      <c r="AB117" s="195" t="s">
        <v>333</v>
      </c>
      <c r="AC117" s="195"/>
      <c r="AD117" s="653"/>
      <c r="AE117" s="637"/>
      <c r="AF117" s="637"/>
      <c r="AG117" s="637"/>
      <c r="AH117" s="637"/>
      <c r="AI117" s="637"/>
      <c r="AJ117" s="637"/>
      <c r="AK117" s="637"/>
      <c r="AL117" s="637"/>
      <c r="AM117" s="637"/>
      <c r="AN117" s="637"/>
      <c r="AO117" s="637"/>
      <c r="AP117" s="533"/>
      <c r="AQ117" s="533"/>
      <c r="AR117" s="533"/>
      <c r="AS117" s="533"/>
      <c r="AT117" s="624"/>
      <c r="AU117" s="618"/>
      <c r="AV117" s="618"/>
      <c r="AW117" s="618"/>
      <c r="AX117" s="618"/>
      <c r="AY117" s="618"/>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52"/>
      <c r="CD117" s="52"/>
      <c r="CE117" s="52"/>
      <c r="CF117" s="52"/>
      <c r="CG117" s="52"/>
      <c r="CH117" s="52"/>
      <c r="CI117" s="52"/>
      <c r="CJ117" s="52"/>
      <c r="CK117" s="52"/>
      <c r="CL117" s="52"/>
      <c r="CM117" s="52"/>
      <c r="CN117" s="52"/>
      <c r="CO117" s="52"/>
      <c r="CP117" s="52"/>
      <c r="CQ117" s="52"/>
      <c r="CR117" s="52"/>
      <c r="CS117" s="52"/>
      <c r="CT117" s="52"/>
      <c r="CU117" s="52"/>
      <c r="CV117" s="52"/>
      <c r="CW117" s="52"/>
      <c r="CX117" s="52"/>
      <c r="CY117" s="52"/>
      <c r="CZ117" s="52"/>
      <c r="DA117" s="52"/>
      <c r="DB117" s="52"/>
      <c r="DC117" s="52"/>
      <c r="DD117" s="52"/>
      <c r="DE117" s="52"/>
      <c r="DF117" s="52"/>
      <c r="DG117" s="52"/>
      <c r="DH117" s="52"/>
      <c r="DI117" s="52"/>
      <c r="DJ117" s="52"/>
      <c r="DK117" s="52"/>
      <c r="DL117" s="52"/>
      <c r="DM117" s="52"/>
      <c r="DN117" s="52"/>
      <c r="DO117" s="52"/>
      <c r="DP117" s="52"/>
      <c r="DQ117" s="52"/>
      <c r="DR117" s="52"/>
      <c r="DS117" s="52"/>
      <c r="DT117" s="52"/>
      <c r="DU117" s="52"/>
      <c r="DV117" s="52"/>
      <c r="DW117" s="52"/>
      <c r="DX117" s="52"/>
      <c r="DY117" s="52"/>
      <c r="DZ117" s="52"/>
      <c r="EA117" s="52"/>
      <c r="EB117" s="52"/>
      <c r="EC117" s="52"/>
      <c r="ED117" s="52"/>
      <c r="EE117" s="52"/>
      <c r="EF117" s="52"/>
      <c r="EG117" s="52"/>
      <c r="EH117" s="52"/>
      <c r="EI117" s="52"/>
      <c r="EJ117" s="52"/>
      <c r="EK117" s="52"/>
      <c r="EL117" s="52"/>
      <c r="EM117" s="52"/>
      <c r="EN117" s="52"/>
      <c r="EO117" s="52"/>
      <c r="EP117" s="52"/>
      <c r="EQ117" s="52"/>
      <c r="ER117" s="52"/>
      <c r="ES117" s="52"/>
      <c r="ET117" s="52"/>
      <c r="EU117" s="52"/>
      <c r="EV117" s="52"/>
      <c r="EW117" s="52"/>
      <c r="EX117" s="52"/>
      <c r="EY117" s="52"/>
      <c r="EZ117" s="52"/>
      <c r="FA117" s="52"/>
      <c r="FB117" s="52"/>
      <c r="FC117" s="52"/>
      <c r="FD117" s="52"/>
      <c r="FE117" s="52"/>
      <c r="FF117" s="52"/>
      <c r="FG117" s="52"/>
      <c r="FH117" s="52"/>
      <c r="FI117" s="52"/>
      <c r="FJ117" s="52"/>
      <c r="FK117" s="52"/>
      <c r="FL117" s="52"/>
      <c r="FM117" s="52"/>
      <c r="FN117" s="52"/>
      <c r="FO117" s="52"/>
      <c r="FP117" s="52"/>
      <c r="FQ117" s="52"/>
      <c r="FR117" s="52"/>
      <c r="FS117" s="52"/>
      <c r="FT117" s="52"/>
      <c r="FU117" s="52"/>
    </row>
    <row r="118" spans="1:177" ht="11.25" customHeight="1">
      <c r="A118" s="309"/>
      <c r="B118" s="629"/>
      <c r="C118" s="609"/>
      <c r="D118" s="631"/>
      <c r="E118" s="530"/>
      <c r="F118" s="634"/>
      <c r="G118" s="635"/>
      <c r="H118" s="636"/>
      <c r="I118" s="635"/>
      <c r="J118" s="312"/>
      <c r="K118" s="52"/>
      <c r="L118" s="802"/>
      <c r="M118" s="802"/>
      <c r="N118" s="802"/>
      <c r="O118" s="802"/>
      <c r="P118" s="802"/>
      <c r="Q118" s="802"/>
      <c r="R118" s="802"/>
      <c r="S118" s="13"/>
      <c r="T118" s="10"/>
      <c r="U118" s="13"/>
      <c r="V118" s="229"/>
      <c r="W118" s="229"/>
      <c r="X118" s="313" t="s">
        <v>307</v>
      </c>
      <c r="Y118" s="313" t="s">
        <v>308</v>
      </c>
      <c r="Z118" s="314" t="s">
        <v>309</v>
      </c>
      <c r="AA118" s="313" t="s">
        <v>307</v>
      </c>
      <c r="AB118" s="313" t="s">
        <v>308</v>
      </c>
      <c r="AC118" s="314" t="s">
        <v>309</v>
      </c>
      <c r="AD118" s="624"/>
      <c r="AE118" s="637"/>
      <c r="AF118" s="637"/>
      <c r="AG118" s="637"/>
      <c r="AH118" s="637"/>
      <c r="AI118" s="637"/>
      <c r="AJ118" s="637"/>
      <c r="AK118" s="637"/>
      <c r="AL118" s="637"/>
      <c r="AM118" s="637"/>
      <c r="AN118" s="637"/>
      <c r="AO118" s="637"/>
      <c r="AP118" s="533"/>
      <c r="AQ118" s="533"/>
      <c r="AR118" s="533"/>
      <c r="AS118" s="533"/>
      <c r="AT118" s="624"/>
      <c r="AU118" s="618"/>
      <c r="AV118" s="618"/>
      <c r="AW118" s="618"/>
      <c r="AX118" s="618"/>
      <c r="AY118" s="618"/>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52"/>
      <c r="CD118" s="52"/>
      <c r="CE118" s="52"/>
      <c r="CF118" s="52"/>
      <c r="CG118" s="52"/>
      <c r="CH118" s="52"/>
      <c r="CI118" s="52"/>
      <c r="CJ118" s="52"/>
      <c r="CK118" s="52"/>
      <c r="CL118" s="52"/>
      <c r="CM118" s="52"/>
      <c r="CN118" s="52"/>
      <c r="CO118" s="52"/>
      <c r="CP118" s="52"/>
      <c r="CQ118" s="52"/>
      <c r="CR118" s="52"/>
      <c r="CS118" s="52"/>
      <c r="CT118" s="52"/>
      <c r="CU118" s="52"/>
      <c r="CV118" s="52"/>
      <c r="CW118" s="52"/>
      <c r="CX118" s="52"/>
      <c r="CY118" s="52"/>
      <c r="CZ118" s="52"/>
      <c r="DA118" s="52"/>
      <c r="DB118" s="52"/>
      <c r="DC118" s="52"/>
      <c r="DD118" s="52"/>
      <c r="DE118" s="52"/>
      <c r="DF118" s="52"/>
      <c r="DG118" s="52"/>
      <c r="DH118" s="52"/>
      <c r="DI118" s="52"/>
      <c r="DJ118" s="52"/>
      <c r="DK118" s="52"/>
      <c r="DL118" s="52"/>
      <c r="DM118" s="52"/>
      <c r="DN118" s="52"/>
      <c r="DO118" s="52"/>
      <c r="DP118" s="52"/>
      <c r="DQ118" s="52"/>
      <c r="DR118" s="52"/>
      <c r="DS118" s="52"/>
      <c r="DT118" s="52"/>
      <c r="DU118" s="52"/>
      <c r="DV118" s="52"/>
      <c r="DW118" s="52"/>
      <c r="DX118" s="52"/>
      <c r="DY118" s="52"/>
      <c r="DZ118" s="52"/>
      <c r="EA118" s="52"/>
      <c r="EB118" s="52"/>
      <c r="EC118" s="52"/>
      <c r="ED118" s="52"/>
      <c r="EE118" s="52"/>
      <c r="EF118" s="52"/>
      <c r="EG118" s="52"/>
      <c r="EH118" s="52"/>
      <c r="EI118" s="52"/>
      <c r="EJ118" s="52"/>
      <c r="EK118" s="52"/>
      <c r="EL118" s="52"/>
      <c r="EM118" s="52"/>
      <c r="EN118" s="52"/>
      <c r="EO118" s="52"/>
      <c r="EP118" s="52"/>
      <c r="EQ118" s="52"/>
      <c r="ER118" s="52"/>
      <c r="ES118" s="52"/>
      <c r="ET118" s="52"/>
      <c r="EU118" s="52"/>
      <c r="EV118" s="52"/>
      <c r="EW118" s="52"/>
      <c r="EX118" s="52"/>
      <c r="EY118" s="52"/>
      <c r="EZ118" s="52"/>
      <c r="FA118" s="52"/>
      <c r="FB118" s="52"/>
      <c r="FC118" s="52"/>
      <c r="FD118" s="52"/>
      <c r="FE118" s="52"/>
      <c r="FF118" s="52"/>
      <c r="FG118" s="52"/>
      <c r="FH118" s="52"/>
      <c r="FI118" s="52"/>
      <c r="FJ118" s="52"/>
      <c r="FK118" s="52"/>
      <c r="FL118" s="52"/>
      <c r="FM118" s="52"/>
      <c r="FN118" s="52"/>
      <c r="FO118" s="52"/>
      <c r="FP118" s="52"/>
      <c r="FQ118" s="52"/>
      <c r="FR118" s="52"/>
      <c r="FS118" s="52"/>
      <c r="FT118" s="52"/>
      <c r="FU118" s="52"/>
    </row>
    <row r="119" spans="1:177" ht="11.25" customHeight="1">
      <c r="A119" s="309"/>
      <c r="B119" s="629"/>
      <c r="C119" s="609"/>
      <c r="D119" s="631"/>
      <c r="E119" s="530"/>
      <c r="F119" s="634"/>
      <c r="G119" s="635"/>
      <c r="H119" s="636"/>
      <c r="I119" s="635"/>
      <c r="J119" s="312"/>
      <c r="K119" s="52"/>
      <c r="L119" s="13"/>
      <c r="M119" s="13"/>
      <c r="N119" s="13"/>
      <c r="O119" s="311"/>
      <c r="P119" s="13"/>
      <c r="Q119" s="13"/>
      <c r="R119" s="13"/>
      <c r="S119" s="13"/>
      <c r="T119" s="93"/>
      <c r="U119" s="10"/>
      <c r="V119" s="13" t="s">
        <v>528</v>
      </c>
      <c r="W119" s="13"/>
      <c r="X119" s="311">
        <f>AC101/12</f>
        <v>119.97834409194239</v>
      </c>
      <c r="Y119" s="13">
        <f>AC105/12</f>
        <v>82.96170880772809</v>
      </c>
      <c r="Z119" s="25">
        <f>AC109/12</f>
        <v>31.201107543099116</v>
      </c>
      <c r="AA119" s="13">
        <f>X119/'ET-luvun Laskenta'!C29</f>
        <v>0.7498646505746399</v>
      </c>
      <c r="AB119" s="13">
        <f>Y119/'ET-luvun Laskenta'!C29</f>
        <v>0.5185106800483006</v>
      </c>
      <c r="AC119" s="315">
        <f>Z119/'ET-luvun Laskenta'!C29</f>
        <v>0.1950069221443695</v>
      </c>
      <c r="AD119" s="622"/>
      <c r="AE119" s="637"/>
      <c r="AF119" s="637"/>
      <c r="AG119" s="637"/>
      <c r="AH119" s="637"/>
      <c r="AI119" s="637"/>
      <c r="AJ119" s="637"/>
      <c r="AK119" s="637"/>
      <c r="AL119" s="637"/>
      <c r="AM119" s="637"/>
      <c r="AN119" s="637"/>
      <c r="AO119" s="637"/>
      <c r="AP119" s="533"/>
      <c r="AQ119" s="533"/>
      <c r="AR119" s="533"/>
      <c r="AS119" s="533"/>
      <c r="AT119" s="624"/>
      <c r="AU119" s="618"/>
      <c r="AV119" s="618"/>
      <c r="AW119" s="618"/>
      <c r="AX119" s="618"/>
      <c r="AY119" s="618"/>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52"/>
      <c r="CD119" s="52"/>
      <c r="CE119" s="52"/>
      <c r="CF119" s="52"/>
      <c r="CG119" s="52"/>
      <c r="CH119" s="52"/>
      <c r="CI119" s="52"/>
      <c r="CJ119" s="52"/>
      <c r="CK119" s="52"/>
      <c r="CL119" s="52"/>
      <c r="CM119" s="52"/>
      <c r="CN119" s="52"/>
      <c r="CO119" s="52"/>
      <c r="CP119" s="52"/>
      <c r="CQ119" s="52"/>
      <c r="CR119" s="52"/>
      <c r="CS119" s="52"/>
      <c r="CT119" s="52"/>
      <c r="CU119" s="52"/>
      <c r="CV119" s="52"/>
      <c r="CW119" s="52"/>
      <c r="CX119" s="52"/>
      <c r="CY119" s="52"/>
      <c r="CZ119" s="52"/>
      <c r="DA119" s="52"/>
      <c r="DB119" s="52"/>
      <c r="DC119" s="52"/>
      <c r="DD119" s="52"/>
      <c r="DE119" s="52"/>
      <c r="DF119" s="52"/>
      <c r="DG119" s="52"/>
      <c r="DH119" s="52"/>
      <c r="DI119" s="52"/>
      <c r="DJ119" s="52"/>
      <c r="DK119" s="52"/>
      <c r="DL119" s="52"/>
      <c r="DM119" s="52"/>
      <c r="DN119" s="52"/>
      <c r="DO119" s="52"/>
      <c r="DP119" s="52"/>
      <c r="DQ119" s="52"/>
      <c r="DR119" s="52"/>
      <c r="DS119" s="52"/>
      <c r="DT119" s="52"/>
      <c r="DU119" s="52"/>
      <c r="DV119" s="52"/>
      <c r="DW119" s="52"/>
      <c r="DX119" s="52"/>
      <c r="DY119" s="52"/>
      <c r="DZ119" s="52"/>
      <c r="EA119" s="52"/>
      <c r="EB119" s="52"/>
      <c r="EC119" s="52"/>
      <c r="ED119" s="52"/>
      <c r="EE119" s="52"/>
      <c r="EF119" s="52"/>
      <c r="EG119" s="52"/>
      <c r="EH119" s="52"/>
      <c r="EI119" s="52"/>
      <c r="EJ119" s="52"/>
      <c r="EK119" s="52"/>
      <c r="EL119" s="52"/>
      <c r="EM119" s="52"/>
      <c r="EN119" s="52"/>
      <c r="EO119" s="52"/>
      <c r="EP119" s="52"/>
      <c r="EQ119" s="52"/>
      <c r="ER119" s="52"/>
      <c r="ES119" s="52"/>
      <c r="ET119" s="52"/>
      <c r="EU119" s="52"/>
      <c r="EV119" s="52"/>
      <c r="EW119" s="52"/>
      <c r="EX119" s="52"/>
      <c r="EY119" s="52"/>
      <c r="EZ119" s="52"/>
      <c r="FA119" s="52"/>
      <c r="FB119" s="52"/>
      <c r="FC119" s="52"/>
      <c r="FD119" s="52"/>
      <c r="FE119" s="52"/>
      <c r="FF119" s="52"/>
      <c r="FG119" s="52"/>
      <c r="FH119" s="52"/>
      <c r="FI119" s="52"/>
      <c r="FJ119" s="52"/>
      <c r="FK119" s="52"/>
      <c r="FL119" s="52"/>
      <c r="FM119" s="52"/>
      <c r="FN119" s="52"/>
      <c r="FO119" s="52"/>
      <c r="FP119" s="52"/>
      <c r="FQ119" s="52"/>
      <c r="FR119" s="52"/>
      <c r="FS119" s="52"/>
      <c r="FT119" s="52"/>
      <c r="FU119" s="52"/>
    </row>
    <row r="120" spans="1:177" ht="11.25" customHeight="1">
      <c r="A120" s="309"/>
      <c r="B120" s="629"/>
      <c r="C120" s="609"/>
      <c r="D120" s="631"/>
      <c r="E120" s="530"/>
      <c r="F120" s="634"/>
      <c r="G120" s="635"/>
      <c r="H120" s="636"/>
      <c r="I120" s="635"/>
      <c r="J120" s="312"/>
      <c r="K120" s="52"/>
      <c r="L120" s="13"/>
      <c r="M120" s="13"/>
      <c r="N120" s="13"/>
      <c r="O120" s="311"/>
      <c r="P120" s="13"/>
      <c r="Q120" s="13"/>
      <c r="R120" s="13"/>
      <c r="S120" s="13"/>
      <c r="T120" s="93"/>
      <c r="U120" s="10"/>
      <c r="V120" s="13" t="s">
        <v>296</v>
      </c>
      <c r="W120" s="13"/>
      <c r="X120" s="311">
        <f>AC102/12</f>
        <v>85.92775366586375</v>
      </c>
      <c r="Y120" s="311">
        <f>AC106/12</f>
        <v>92.14500000000002</v>
      </c>
      <c r="Z120" s="25">
        <f>AC110/12</f>
        <v>89.38416689635243</v>
      </c>
      <c r="AA120" s="13">
        <f>X120/'ET-luvun Laskenta'!C29</f>
        <v>0.5370484604116484</v>
      </c>
      <c r="AB120" s="13">
        <f>Y120/'ET-luvun Laskenta'!C29</f>
        <v>0.5759062500000002</v>
      </c>
      <c r="AC120" s="315">
        <f>Z120/'ET-luvun Laskenta'!C29</f>
        <v>0.5586510431022027</v>
      </c>
      <c r="AD120" s="622"/>
      <c r="AE120" s="637"/>
      <c r="AF120" s="637"/>
      <c r="AG120" s="637"/>
      <c r="AH120" s="637"/>
      <c r="AI120" s="637"/>
      <c r="AJ120" s="637"/>
      <c r="AK120" s="637"/>
      <c r="AL120" s="637"/>
      <c r="AM120" s="637"/>
      <c r="AN120" s="637"/>
      <c r="AO120" s="637"/>
      <c r="AP120" s="533"/>
      <c r="AQ120" s="533"/>
      <c r="AR120" s="533"/>
      <c r="AS120" s="533"/>
      <c r="AT120" s="624"/>
      <c r="AU120" s="618"/>
      <c r="AV120" s="618"/>
      <c r="AW120" s="618"/>
      <c r="AX120" s="618"/>
      <c r="AY120" s="618"/>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52"/>
      <c r="CD120" s="52"/>
      <c r="CE120" s="52"/>
      <c r="CF120" s="52"/>
      <c r="CG120" s="52"/>
      <c r="CH120" s="52"/>
      <c r="CI120" s="52"/>
      <c r="CJ120" s="52"/>
      <c r="CK120" s="52"/>
      <c r="CL120" s="52"/>
      <c r="CM120" s="52"/>
      <c r="CN120" s="52"/>
      <c r="CO120" s="52"/>
      <c r="CP120" s="52"/>
      <c r="CQ120" s="52"/>
      <c r="CR120" s="52"/>
      <c r="CS120" s="52"/>
      <c r="CT120" s="52"/>
      <c r="CU120" s="52"/>
      <c r="CV120" s="52"/>
      <c r="CW120" s="52"/>
      <c r="CX120" s="52"/>
      <c r="CY120" s="52"/>
      <c r="CZ120" s="52"/>
      <c r="DA120" s="52"/>
      <c r="DB120" s="52"/>
      <c r="DC120" s="52"/>
      <c r="DD120" s="52"/>
      <c r="DE120" s="52"/>
      <c r="DF120" s="52"/>
      <c r="DG120" s="52"/>
      <c r="DH120" s="52"/>
      <c r="DI120" s="52"/>
      <c r="DJ120" s="52"/>
      <c r="DK120" s="52"/>
      <c r="DL120" s="52"/>
      <c r="DM120" s="52"/>
      <c r="DN120" s="52"/>
      <c r="DO120" s="52"/>
      <c r="DP120" s="52"/>
      <c r="DQ120" s="52"/>
      <c r="DR120" s="52"/>
      <c r="DS120" s="52"/>
      <c r="DT120" s="52"/>
      <c r="DU120" s="52"/>
      <c r="DV120" s="52"/>
      <c r="DW120" s="52"/>
      <c r="DX120" s="52"/>
      <c r="DY120" s="52"/>
      <c r="DZ120" s="52"/>
      <c r="EA120" s="52"/>
      <c r="EB120" s="52"/>
      <c r="EC120" s="52"/>
      <c r="ED120" s="52"/>
      <c r="EE120" s="52"/>
      <c r="EF120" s="52"/>
      <c r="EG120" s="52"/>
      <c r="EH120" s="52"/>
      <c r="EI120" s="52"/>
      <c r="EJ120" s="52"/>
      <c r="EK120" s="52"/>
      <c r="EL120" s="52"/>
      <c r="EM120" s="52"/>
      <c r="EN120" s="52"/>
      <c r="EO120" s="52"/>
      <c r="EP120" s="52"/>
      <c r="EQ120" s="52"/>
      <c r="ER120" s="52"/>
      <c r="ES120" s="52"/>
      <c r="ET120" s="52"/>
      <c r="EU120" s="52"/>
      <c r="EV120" s="52"/>
      <c r="EW120" s="52"/>
      <c r="EX120" s="52"/>
      <c r="EY120" s="52"/>
      <c r="EZ120" s="52"/>
      <c r="FA120" s="52"/>
      <c r="FB120" s="52"/>
      <c r="FC120" s="52"/>
      <c r="FD120" s="52"/>
      <c r="FE120" s="52"/>
      <c r="FF120" s="52"/>
      <c r="FG120" s="52"/>
      <c r="FH120" s="52"/>
      <c r="FI120" s="52"/>
      <c r="FJ120" s="52"/>
      <c r="FK120" s="52"/>
      <c r="FL120" s="52"/>
      <c r="FM120" s="52"/>
      <c r="FN120" s="52"/>
      <c r="FO120" s="52"/>
      <c r="FP120" s="52"/>
      <c r="FQ120" s="52"/>
      <c r="FR120" s="52"/>
      <c r="FS120" s="52"/>
      <c r="FT120" s="52"/>
      <c r="FU120" s="52"/>
    </row>
    <row r="121" spans="1:177" ht="11.25" customHeight="1">
      <c r="A121" s="110"/>
      <c r="B121" s="629"/>
      <c r="C121" s="609"/>
      <c r="D121" s="631"/>
      <c r="E121" s="530"/>
      <c r="F121" s="634"/>
      <c r="G121" s="635"/>
      <c r="H121" s="638"/>
      <c r="I121" s="635"/>
      <c r="J121" s="312"/>
      <c r="K121" s="52"/>
      <c r="L121" s="802"/>
      <c r="M121" s="802"/>
      <c r="N121" s="802"/>
      <c r="O121" s="811"/>
      <c r="P121" s="802"/>
      <c r="Q121" s="802"/>
      <c r="R121" s="802"/>
      <c r="S121" s="13"/>
      <c r="T121" s="93"/>
      <c r="U121" s="10"/>
      <c r="V121" s="13" t="s">
        <v>163</v>
      </c>
      <c r="W121" s="13"/>
      <c r="X121" s="311">
        <f>SUM(X119:X120)</f>
        <v>205.90609775780615</v>
      </c>
      <c r="Y121" s="311">
        <f>SUM(Y119:Y120)</f>
        <v>175.10670880772813</v>
      </c>
      <c r="Z121" s="25">
        <f>SUM(Z119:Z120)</f>
        <v>120.58527443945154</v>
      </c>
      <c r="AA121" s="13">
        <f>X121/'ET-luvun Laskenta'!C29</f>
        <v>1.2869131109862884</v>
      </c>
      <c r="AB121" s="13">
        <f>Y121/'ET-luvun Laskenta'!C29</f>
        <v>1.0944169300483009</v>
      </c>
      <c r="AC121" s="315">
        <f>Z121/'ET-luvun Laskenta'!C29</f>
        <v>0.7536579652465721</v>
      </c>
      <c r="AD121" s="622"/>
      <c r="AE121" s="637"/>
      <c r="AF121" s="637"/>
      <c r="AG121" s="637"/>
      <c r="AH121" s="637"/>
      <c r="AI121" s="637"/>
      <c r="AJ121" s="637"/>
      <c r="AK121" s="637"/>
      <c r="AL121" s="637"/>
      <c r="AM121" s="637"/>
      <c r="AN121" s="637"/>
      <c r="AO121" s="637"/>
      <c r="AP121" s="533"/>
      <c r="AQ121" s="533"/>
      <c r="AR121" s="533"/>
      <c r="AS121" s="533"/>
      <c r="AT121" s="624"/>
      <c r="AU121" s="618"/>
      <c r="AV121" s="618"/>
      <c r="AW121" s="618"/>
      <c r="AX121" s="618"/>
      <c r="AY121" s="618"/>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52"/>
      <c r="CD121" s="52"/>
      <c r="CE121" s="52"/>
      <c r="CF121" s="52"/>
      <c r="CG121" s="52"/>
      <c r="CH121" s="52"/>
      <c r="CI121" s="52"/>
      <c r="CJ121" s="52"/>
      <c r="CK121" s="52"/>
      <c r="CL121" s="52"/>
      <c r="CM121" s="52"/>
      <c r="CN121" s="52"/>
      <c r="CO121" s="52"/>
      <c r="CP121" s="52"/>
      <c r="CQ121" s="52"/>
      <c r="CR121" s="52"/>
      <c r="CS121" s="52"/>
      <c r="CT121" s="52"/>
      <c r="CU121" s="52"/>
      <c r="CV121" s="52"/>
      <c r="CW121" s="52"/>
      <c r="CX121" s="52"/>
      <c r="CY121" s="52"/>
      <c r="CZ121" s="52"/>
      <c r="DA121" s="52"/>
      <c r="DB121" s="52"/>
      <c r="DC121" s="52"/>
      <c r="DD121" s="52"/>
      <c r="DE121" s="52"/>
      <c r="DF121" s="52"/>
      <c r="DG121" s="52"/>
      <c r="DH121" s="52"/>
      <c r="DI121" s="52"/>
      <c r="DJ121" s="52"/>
      <c r="DK121" s="52"/>
      <c r="DL121" s="52"/>
      <c r="DM121" s="52"/>
      <c r="DN121" s="52"/>
      <c r="DO121" s="52"/>
      <c r="DP121" s="52"/>
      <c r="DQ121" s="52"/>
      <c r="DR121" s="52"/>
      <c r="DS121" s="52"/>
      <c r="DT121" s="52"/>
      <c r="DU121" s="52"/>
      <c r="DV121" s="52"/>
      <c r="DW121" s="52"/>
      <c r="DX121" s="52"/>
      <c r="DY121" s="52"/>
      <c r="DZ121" s="52"/>
      <c r="EA121" s="52"/>
      <c r="EB121" s="52"/>
      <c r="EC121" s="52"/>
      <c r="ED121" s="52"/>
      <c r="EE121" s="52"/>
      <c r="EF121" s="52"/>
      <c r="EG121" s="52"/>
      <c r="EH121" s="52"/>
      <c r="EI121" s="52"/>
      <c r="EJ121" s="52"/>
      <c r="EK121" s="52"/>
      <c r="EL121" s="52"/>
      <c r="EM121" s="52"/>
      <c r="EN121" s="52"/>
      <c r="EO121" s="52"/>
      <c r="EP121" s="52"/>
      <c r="EQ121" s="52"/>
      <c r="ER121" s="52"/>
      <c r="ES121" s="52"/>
      <c r="ET121" s="52"/>
      <c r="EU121" s="52"/>
      <c r="EV121" s="52"/>
      <c r="EW121" s="52"/>
      <c r="EX121" s="52"/>
      <c r="EY121" s="52"/>
      <c r="EZ121" s="52"/>
      <c r="FA121" s="52"/>
      <c r="FB121" s="52"/>
      <c r="FC121" s="52"/>
      <c r="FD121" s="52"/>
      <c r="FE121" s="52"/>
      <c r="FF121" s="52"/>
      <c r="FG121" s="52"/>
      <c r="FH121" s="52"/>
      <c r="FI121" s="52"/>
      <c r="FJ121" s="52"/>
      <c r="FK121" s="52"/>
      <c r="FL121" s="52"/>
      <c r="FM121" s="52"/>
      <c r="FN121" s="52"/>
      <c r="FO121" s="52"/>
      <c r="FP121" s="52"/>
      <c r="FQ121" s="52"/>
      <c r="FR121" s="52"/>
      <c r="FS121" s="52"/>
      <c r="FT121" s="52"/>
      <c r="FU121" s="52"/>
    </row>
    <row r="122" spans="1:177" ht="11.25" customHeight="1">
      <c r="A122" s="242"/>
      <c r="B122" s="629"/>
      <c r="C122" s="609"/>
      <c r="D122" s="631"/>
      <c r="E122" s="530"/>
      <c r="F122" s="634"/>
      <c r="G122" s="639"/>
      <c r="H122" s="638"/>
      <c r="I122" s="635"/>
      <c r="J122" s="312"/>
      <c r="K122" s="52"/>
      <c r="L122" s="311"/>
      <c r="M122" s="311"/>
      <c r="N122" s="311"/>
      <c r="O122" s="311"/>
      <c r="P122" s="13"/>
      <c r="Q122" s="13"/>
      <c r="R122" s="13"/>
      <c r="S122" s="13"/>
      <c r="T122" s="203"/>
      <c r="U122" s="311"/>
      <c r="V122" s="311"/>
      <c r="W122" s="311"/>
      <c r="X122" s="311"/>
      <c r="Y122" s="311"/>
      <c r="Z122" s="311"/>
      <c r="AA122" s="311"/>
      <c r="AB122" s="311"/>
      <c r="AC122" s="311"/>
      <c r="AD122" s="624"/>
      <c r="AE122" s="637"/>
      <c r="AF122" s="637"/>
      <c r="AG122" s="637"/>
      <c r="AH122" s="637"/>
      <c r="AI122" s="637"/>
      <c r="AJ122" s="637"/>
      <c r="AK122" s="637"/>
      <c r="AL122" s="637"/>
      <c r="AM122" s="637"/>
      <c r="AN122" s="637"/>
      <c r="AO122" s="637"/>
      <c r="AP122" s="533"/>
      <c r="AQ122" s="533"/>
      <c r="AR122" s="533"/>
      <c r="AS122" s="533"/>
      <c r="AT122" s="624"/>
      <c r="AU122" s="618"/>
      <c r="AV122" s="618"/>
      <c r="AW122" s="618"/>
      <c r="AX122" s="618"/>
      <c r="AY122" s="618"/>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52"/>
      <c r="CD122" s="52"/>
      <c r="CE122" s="52"/>
      <c r="CF122" s="52"/>
      <c r="CG122" s="52"/>
      <c r="CH122" s="52"/>
      <c r="CI122" s="52"/>
      <c r="CJ122" s="52"/>
      <c r="CK122" s="52"/>
      <c r="CL122" s="52"/>
      <c r="CM122" s="52"/>
      <c r="CN122" s="52"/>
      <c r="CO122" s="52"/>
      <c r="CP122" s="52"/>
      <c r="CQ122" s="52"/>
      <c r="CR122" s="52"/>
      <c r="CS122" s="52"/>
      <c r="CT122" s="52"/>
      <c r="CU122" s="52"/>
      <c r="CV122" s="52"/>
      <c r="CW122" s="52"/>
      <c r="CX122" s="52"/>
      <c r="CY122" s="52"/>
      <c r="CZ122" s="52"/>
      <c r="DA122" s="52"/>
      <c r="DB122" s="52"/>
      <c r="DC122" s="52"/>
      <c r="DD122" s="52"/>
      <c r="DE122" s="52"/>
      <c r="DF122" s="52"/>
      <c r="DG122" s="52"/>
      <c r="DH122" s="52"/>
      <c r="DI122" s="52"/>
      <c r="DJ122" s="52"/>
      <c r="DK122" s="52"/>
      <c r="DL122" s="52"/>
      <c r="DM122" s="52"/>
      <c r="DN122" s="52"/>
      <c r="DO122" s="52"/>
      <c r="DP122" s="52"/>
      <c r="DQ122" s="52"/>
      <c r="DR122" s="52"/>
      <c r="DS122" s="52"/>
      <c r="DT122" s="52"/>
      <c r="DU122" s="52"/>
      <c r="DV122" s="52"/>
      <c r="DW122" s="52"/>
      <c r="DX122" s="52"/>
      <c r="DY122" s="52"/>
      <c r="DZ122" s="52"/>
      <c r="EA122" s="52"/>
      <c r="EB122" s="52"/>
      <c r="EC122" s="52"/>
      <c r="ED122" s="52"/>
      <c r="EE122" s="52"/>
      <c r="EF122" s="52"/>
      <c r="EG122" s="52"/>
      <c r="EH122" s="52"/>
      <c r="EI122" s="52"/>
      <c r="EJ122" s="52"/>
      <c r="EK122" s="52"/>
      <c r="EL122" s="52"/>
      <c r="EM122" s="52"/>
      <c r="EN122" s="52"/>
      <c r="EO122" s="52"/>
      <c r="EP122" s="52"/>
      <c r="EQ122" s="52"/>
      <c r="ER122" s="52"/>
      <c r="ES122" s="52"/>
      <c r="ET122" s="52"/>
      <c r="EU122" s="52"/>
      <c r="EV122" s="52"/>
      <c r="EW122" s="52"/>
      <c r="EX122" s="52"/>
      <c r="EY122" s="52"/>
      <c r="EZ122" s="52"/>
      <c r="FA122" s="52"/>
      <c r="FB122" s="52"/>
      <c r="FC122" s="52"/>
      <c r="FD122" s="52"/>
      <c r="FE122" s="52"/>
      <c r="FF122" s="52"/>
      <c r="FG122" s="52"/>
      <c r="FH122" s="52"/>
      <c r="FI122" s="52"/>
      <c r="FJ122" s="52"/>
      <c r="FK122" s="52"/>
      <c r="FL122" s="52"/>
      <c r="FM122" s="52"/>
      <c r="FN122" s="52"/>
      <c r="FO122" s="52"/>
      <c r="FP122" s="52"/>
      <c r="FQ122" s="52"/>
      <c r="FR122" s="52"/>
      <c r="FS122" s="52"/>
      <c r="FT122" s="52"/>
      <c r="FU122" s="52"/>
    </row>
    <row r="123" spans="1:177" ht="11.25" customHeight="1">
      <c r="A123" s="242"/>
      <c r="B123" s="629"/>
      <c r="C123" s="609"/>
      <c r="D123" s="631"/>
      <c r="E123" s="530"/>
      <c r="F123" s="637"/>
      <c r="G123" s="639"/>
      <c r="H123" s="638"/>
      <c r="I123" s="635"/>
      <c r="J123" s="312"/>
      <c r="K123" s="52"/>
      <c r="L123" s="311"/>
      <c r="M123" s="311"/>
      <c r="N123" s="311"/>
      <c r="O123" s="311"/>
      <c r="P123" s="311"/>
      <c r="Q123" s="13"/>
      <c r="R123" s="13"/>
      <c r="S123" s="13"/>
      <c r="T123" s="93"/>
      <c r="U123" s="311"/>
      <c r="V123" s="311"/>
      <c r="W123" s="311"/>
      <c r="X123" s="311"/>
      <c r="Y123" s="311"/>
      <c r="Z123" s="311"/>
      <c r="AA123" s="311"/>
      <c r="AB123" s="311"/>
      <c r="AC123" s="311"/>
      <c r="AD123" s="624"/>
      <c r="AE123" s="637"/>
      <c r="AF123" s="637"/>
      <c r="AG123" s="637"/>
      <c r="AH123" s="637"/>
      <c r="AI123" s="637"/>
      <c r="AJ123" s="637"/>
      <c r="AK123" s="637"/>
      <c r="AL123" s="637"/>
      <c r="AM123" s="637"/>
      <c r="AN123" s="637"/>
      <c r="AO123" s="637"/>
      <c r="AP123" s="533"/>
      <c r="AQ123" s="533"/>
      <c r="AR123" s="533"/>
      <c r="AS123" s="533"/>
      <c r="AT123" s="624"/>
      <c r="AU123" s="618"/>
      <c r="AV123" s="618"/>
      <c r="AW123" s="618"/>
      <c r="AX123" s="618"/>
      <c r="AY123" s="618"/>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52"/>
      <c r="CD123" s="52"/>
      <c r="CE123" s="52"/>
      <c r="CF123" s="52"/>
      <c r="CG123" s="52"/>
      <c r="CH123" s="52"/>
      <c r="CI123" s="52"/>
      <c r="CJ123" s="52"/>
      <c r="CK123" s="52"/>
      <c r="CL123" s="52"/>
      <c r="CM123" s="52"/>
      <c r="CN123" s="52"/>
      <c r="CO123" s="52"/>
      <c r="CP123" s="52"/>
      <c r="CQ123" s="52"/>
      <c r="CR123" s="52"/>
      <c r="CS123" s="52"/>
      <c r="CT123" s="52"/>
      <c r="CU123" s="52"/>
      <c r="CV123" s="52"/>
      <c r="CW123" s="52"/>
      <c r="CX123" s="52"/>
      <c r="CY123" s="52"/>
      <c r="CZ123" s="52"/>
      <c r="DA123" s="52"/>
      <c r="DB123" s="52"/>
      <c r="DC123" s="52"/>
      <c r="DD123" s="52"/>
      <c r="DE123" s="52"/>
      <c r="DF123" s="52"/>
      <c r="DG123" s="52"/>
      <c r="DH123" s="52"/>
      <c r="DI123" s="52"/>
      <c r="DJ123" s="52"/>
      <c r="DK123" s="52"/>
      <c r="DL123" s="52"/>
      <c r="DM123" s="52"/>
      <c r="DN123" s="52"/>
      <c r="DO123" s="52"/>
      <c r="DP123" s="52"/>
      <c r="DQ123" s="52"/>
      <c r="DR123" s="52"/>
      <c r="DS123" s="52"/>
      <c r="DT123" s="52"/>
      <c r="DU123" s="52"/>
      <c r="DV123" s="52"/>
      <c r="DW123" s="52"/>
      <c r="DX123" s="52"/>
      <c r="DY123" s="52"/>
      <c r="DZ123" s="52"/>
      <c r="EA123" s="52"/>
      <c r="EB123" s="52"/>
      <c r="EC123" s="52"/>
      <c r="ED123" s="52"/>
      <c r="EE123" s="52"/>
      <c r="EF123" s="52"/>
      <c r="EG123" s="52"/>
      <c r="EH123" s="52"/>
      <c r="EI123" s="52"/>
      <c r="EJ123" s="52"/>
      <c r="EK123" s="52"/>
      <c r="EL123" s="52"/>
      <c r="EM123" s="52"/>
      <c r="EN123" s="52"/>
      <c r="EO123" s="52"/>
      <c r="EP123" s="52"/>
      <c r="EQ123" s="52"/>
      <c r="ER123" s="52"/>
      <c r="ES123" s="52"/>
      <c r="ET123" s="52"/>
      <c r="EU123" s="52"/>
      <c r="EV123" s="52"/>
      <c r="EW123" s="52"/>
      <c r="EX123" s="52"/>
      <c r="EY123" s="52"/>
      <c r="EZ123" s="52"/>
      <c r="FA123" s="52"/>
      <c r="FB123" s="52"/>
      <c r="FC123" s="52"/>
      <c r="FD123" s="52"/>
      <c r="FE123" s="52"/>
      <c r="FF123" s="52"/>
      <c r="FG123" s="52"/>
      <c r="FH123" s="52"/>
      <c r="FI123" s="52"/>
      <c r="FJ123" s="52"/>
      <c r="FK123" s="52"/>
      <c r="FL123" s="52"/>
      <c r="FM123" s="52"/>
      <c r="FN123" s="52"/>
      <c r="FO123" s="52"/>
      <c r="FP123" s="52"/>
      <c r="FQ123" s="52"/>
      <c r="FR123" s="52"/>
      <c r="FS123" s="52"/>
      <c r="FT123" s="52"/>
      <c r="FU123" s="52"/>
    </row>
    <row r="124" spans="1:177" ht="11.25" customHeight="1">
      <c r="A124" s="242"/>
      <c r="B124" s="629"/>
      <c r="C124" s="609"/>
      <c r="D124" s="631"/>
      <c r="E124" s="530"/>
      <c r="F124" s="637"/>
      <c r="G124" s="639"/>
      <c r="H124" s="638"/>
      <c r="I124" s="635"/>
      <c r="J124" s="312"/>
      <c r="K124" s="52"/>
      <c r="L124" s="13"/>
      <c r="M124" s="13"/>
      <c r="N124" s="13"/>
      <c r="O124" s="311"/>
      <c r="P124" s="13"/>
      <c r="Q124" s="13"/>
      <c r="R124" s="13"/>
      <c r="S124" s="13"/>
      <c r="T124" s="93"/>
      <c r="U124" s="311"/>
      <c r="V124" s="311"/>
      <c r="W124" s="311"/>
      <c r="X124" s="311"/>
      <c r="Y124" s="311"/>
      <c r="Z124" s="311"/>
      <c r="AA124" s="311"/>
      <c r="AB124" s="311"/>
      <c r="AC124" s="311"/>
      <c r="AD124" s="624"/>
      <c r="AE124" s="637"/>
      <c r="AF124" s="637"/>
      <c r="AG124" s="637"/>
      <c r="AH124" s="637"/>
      <c r="AI124" s="637"/>
      <c r="AJ124" s="637"/>
      <c r="AK124" s="637"/>
      <c r="AL124" s="637"/>
      <c r="AM124" s="637"/>
      <c r="AN124" s="637"/>
      <c r="AO124" s="637"/>
      <c r="AP124" s="533"/>
      <c r="AQ124" s="533"/>
      <c r="AR124" s="533"/>
      <c r="AS124" s="533"/>
      <c r="AT124" s="624"/>
      <c r="AU124" s="618"/>
      <c r="AV124" s="618"/>
      <c r="AW124" s="618"/>
      <c r="AX124" s="618"/>
      <c r="AY124" s="618"/>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52"/>
      <c r="CD124" s="52"/>
      <c r="CE124" s="52"/>
      <c r="CF124" s="52"/>
      <c r="CG124" s="52"/>
      <c r="CH124" s="52"/>
      <c r="CI124" s="52"/>
      <c r="CJ124" s="52"/>
      <c r="CK124" s="52"/>
      <c r="CL124" s="52"/>
      <c r="CM124" s="52"/>
      <c r="CN124" s="52"/>
      <c r="CO124" s="52"/>
      <c r="CP124" s="52"/>
      <c r="CQ124" s="52"/>
      <c r="CR124" s="52"/>
      <c r="CS124" s="52"/>
      <c r="CT124" s="52"/>
      <c r="CU124" s="52"/>
      <c r="CV124" s="52"/>
      <c r="CW124" s="52"/>
      <c r="CX124" s="52"/>
      <c r="CY124" s="52"/>
      <c r="CZ124" s="52"/>
      <c r="DA124" s="52"/>
      <c r="DB124" s="52"/>
      <c r="DC124" s="52"/>
      <c r="DD124" s="52"/>
      <c r="DE124" s="52"/>
      <c r="DF124" s="52"/>
      <c r="DG124" s="52"/>
      <c r="DH124" s="52"/>
      <c r="DI124" s="52"/>
      <c r="DJ124" s="52"/>
      <c r="DK124" s="52"/>
      <c r="DL124" s="52"/>
      <c r="DM124" s="52"/>
      <c r="DN124" s="52"/>
      <c r="DO124" s="52"/>
      <c r="DP124" s="52"/>
      <c r="DQ124" s="52"/>
      <c r="DR124" s="52"/>
      <c r="DS124" s="52"/>
      <c r="DT124" s="52"/>
      <c r="DU124" s="52"/>
      <c r="DV124" s="52"/>
      <c r="DW124" s="52"/>
      <c r="DX124" s="52"/>
      <c r="DY124" s="52"/>
      <c r="DZ124" s="52"/>
      <c r="EA124" s="52"/>
      <c r="EB124" s="52"/>
      <c r="EC124" s="52"/>
      <c r="ED124" s="52"/>
      <c r="EE124" s="52"/>
      <c r="EF124" s="52"/>
      <c r="EG124" s="52"/>
      <c r="EH124" s="52"/>
      <c r="EI124" s="52"/>
      <c r="EJ124" s="52"/>
      <c r="EK124" s="52"/>
      <c r="EL124" s="52"/>
      <c r="EM124" s="52"/>
      <c r="EN124" s="52"/>
      <c r="EO124" s="52"/>
      <c r="EP124" s="52"/>
      <c r="EQ124" s="52"/>
      <c r="ER124" s="52"/>
      <c r="ES124" s="52"/>
      <c r="ET124" s="52"/>
      <c r="EU124" s="52"/>
      <c r="EV124" s="52"/>
      <c r="EW124" s="52"/>
      <c r="EX124" s="52"/>
      <c r="EY124" s="52"/>
      <c r="EZ124" s="52"/>
      <c r="FA124" s="52"/>
      <c r="FB124" s="52"/>
      <c r="FC124" s="52"/>
      <c r="FD124" s="52"/>
      <c r="FE124" s="52"/>
      <c r="FF124" s="52"/>
      <c r="FG124" s="52"/>
      <c r="FH124" s="52"/>
      <c r="FI124" s="52"/>
      <c r="FJ124" s="52"/>
      <c r="FK124" s="52"/>
      <c r="FL124" s="52"/>
      <c r="FM124" s="52"/>
      <c r="FN124" s="52"/>
      <c r="FO124" s="52"/>
      <c r="FP124" s="52"/>
      <c r="FQ124" s="52"/>
      <c r="FR124" s="52"/>
      <c r="FS124" s="52"/>
      <c r="FT124" s="52"/>
      <c r="FU124" s="52"/>
    </row>
    <row r="125" spans="1:177" ht="11.25" customHeight="1">
      <c r="A125" s="242"/>
      <c r="B125" s="609"/>
      <c r="C125" s="609"/>
      <c r="D125" s="631"/>
      <c r="E125" s="530"/>
      <c r="F125" s="637"/>
      <c r="G125" s="639"/>
      <c r="H125" s="638"/>
      <c r="I125" s="635"/>
      <c r="J125" s="312"/>
      <c r="K125" s="52"/>
      <c r="L125" s="13"/>
      <c r="M125" s="13"/>
      <c r="N125" s="13"/>
      <c r="O125" s="311"/>
      <c r="P125" s="311"/>
      <c r="Q125" s="13"/>
      <c r="R125" s="13"/>
      <c r="S125" s="13"/>
      <c r="T125" s="93"/>
      <c r="U125" s="311"/>
      <c r="V125" s="311"/>
      <c r="W125" s="311"/>
      <c r="X125" s="311"/>
      <c r="Y125" s="311"/>
      <c r="Z125" s="311"/>
      <c r="AA125" s="311"/>
      <c r="AB125" s="311"/>
      <c r="AC125" s="311"/>
      <c r="AD125" s="624"/>
      <c r="AE125" s="637"/>
      <c r="AF125" s="637"/>
      <c r="AG125" s="637"/>
      <c r="AH125" s="637"/>
      <c r="AI125" s="637"/>
      <c r="AJ125" s="637"/>
      <c r="AK125" s="637"/>
      <c r="AL125" s="637"/>
      <c r="AM125" s="637"/>
      <c r="AN125" s="637"/>
      <c r="AO125" s="637"/>
      <c r="AP125" s="533"/>
      <c r="AQ125" s="533"/>
      <c r="AR125" s="533"/>
      <c r="AS125" s="533"/>
      <c r="AT125" s="624"/>
      <c r="AU125" s="618"/>
      <c r="AV125" s="618"/>
      <c r="AW125" s="618"/>
      <c r="AX125" s="618"/>
      <c r="AY125" s="618"/>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52"/>
      <c r="CD125" s="52"/>
      <c r="CE125" s="52"/>
      <c r="CF125" s="52"/>
      <c r="CG125" s="52"/>
      <c r="CH125" s="52"/>
      <c r="CI125" s="52"/>
      <c r="CJ125" s="52"/>
      <c r="CK125" s="52"/>
      <c r="CL125" s="52"/>
      <c r="CM125" s="52"/>
      <c r="CN125" s="52"/>
      <c r="CO125" s="52"/>
      <c r="CP125" s="52"/>
      <c r="CQ125" s="52"/>
      <c r="CR125" s="52"/>
      <c r="CS125" s="52"/>
      <c r="CT125" s="52"/>
      <c r="CU125" s="52"/>
      <c r="CV125" s="52"/>
      <c r="CW125" s="52"/>
      <c r="CX125" s="52"/>
      <c r="CY125" s="52"/>
      <c r="CZ125" s="52"/>
      <c r="DA125" s="52"/>
      <c r="DB125" s="52"/>
      <c r="DC125" s="52"/>
      <c r="DD125" s="52"/>
      <c r="DE125" s="52"/>
      <c r="DF125" s="52"/>
      <c r="DG125" s="52"/>
      <c r="DH125" s="52"/>
      <c r="DI125" s="52"/>
      <c r="DJ125" s="52"/>
      <c r="DK125" s="52"/>
      <c r="DL125" s="52"/>
      <c r="DM125" s="52"/>
      <c r="DN125" s="52"/>
      <c r="DO125" s="52"/>
      <c r="DP125" s="52"/>
      <c r="DQ125" s="52"/>
      <c r="DR125" s="52"/>
      <c r="DS125" s="52"/>
      <c r="DT125" s="52"/>
      <c r="DU125" s="52"/>
      <c r="DV125" s="52"/>
      <c r="DW125" s="52"/>
      <c r="DX125" s="52"/>
      <c r="DY125" s="52"/>
      <c r="DZ125" s="52"/>
      <c r="EA125" s="52"/>
      <c r="EB125" s="52"/>
      <c r="EC125" s="52"/>
      <c r="ED125" s="52"/>
      <c r="EE125" s="52"/>
      <c r="EF125" s="52"/>
      <c r="EG125" s="52"/>
      <c r="EH125" s="52"/>
      <c r="EI125" s="52"/>
      <c r="EJ125" s="52"/>
      <c r="EK125" s="52"/>
      <c r="EL125" s="52"/>
      <c r="EM125" s="52"/>
      <c r="EN125" s="52"/>
      <c r="EO125" s="52"/>
      <c r="EP125" s="52"/>
      <c r="EQ125" s="52"/>
      <c r="ER125" s="52"/>
      <c r="ES125" s="52"/>
      <c r="ET125" s="52"/>
      <c r="EU125" s="52"/>
      <c r="EV125" s="52"/>
      <c r="EW125" s="52"/>
      <c r="EX125" s="52"/>
      <c r="EY125" s="52"/>
      <c r="EZ125" s="52"/>
      <c r="FA125" s="52"/>
      <c r="FB125" s="52"/>
      <c r="FC125" s="52"/>
      <c r="FD125" s="52"/>
      <c r="FE125" s="52"/>
      <c r="FF125" s="52"/>
      <c r="FG125" s="52"/>
      <c r="FH125" s="52"/>
      <c r="FI125" s="52"/>
      <c r="FJ125" s="52"/>
      <c r="FK125" s="52"/>
      <c r="FL125" s="52"/>
      <c r="FM125" s="52"/>
      <c r="FN125" s="52"/>
      <c r="FO125" s="52"/>
      <c r="FP125" s="52"/>
      <c r="FQ125" s="52"/>
      <c r="FR125" s="52"/>
      <c r="FS125" s="52"/>
      <c r="FT125" s="52"/>
      <c r="FU125" s="52"/>
    </row>
    <row r="126" spans="1:177" ht="11.25" customHeight="1">
      <c r="A126" s="242"/>
      <c r="B126" s="629"/>
      <c r="C126" s="609"/>
      <c r="D126" s="631"/>
      <c r="E126" s="530"/>
      <c r="F126" s="637"/>
      <c r="G126" s="639"/>
      <c r="H126" s="638"/>
      <c r="I126" s="635"/>
      <c r="J126" s="312"/>
      <c r="K126" s="13"/>
      <c r="L126" s="13"/>
      <c r="M126" s="13"/>
      <c r="N126" s="13"/>
      <c r="O126" s="13"/>
      <c r="P126" s="13"/>
      <c r="Q126" s="13"/>
      <c r="R126" s="13"/>
      <c r="S126" s="311"/>
      <c r="T126" s="93"/>
      <c r="U126" s="311"/>
      <c r="V126" s="311"/>
      <c r="W126" s="311"/>
      <c r="X126" s="311"/>
      <c r="Y126" s="311"/>
      <c r="Z126" s="311"/>
      <c r="AA126" s="311"/>
      <c r="AB126" s="311"/>
      <c r="AC126" s="311"/>
      <c r="AD126" s="624"/>
      <c r="AE126" s="637"/>
      <c r="AF126" s="637"/>
      <c r="AG126" s="637"/>
      <c r="AH126" s="637"/>
      <c r="AI126" s="637"/>
      <c r="AJ126" s="637"/>
      <c r="AK126" s="637"/>
      <c r="AL126" s="637"/>
      <c r="AM126" s="637"/>
      <c r="AN126" s="637"/>
      <c r="AO126" s="637"/>
      <c r="AP126" s="533"/>
      <c r="AQ126" s="533"/>
      <c r="AR126" s="533"/>
      <c r="AS126" s="533"/>
      <c r="AT126" s="624"/>
      <c r="AU126" s="618"/>
      <c r="AV126" s="618"/>
      <c r="AW126" s="618"/>
      <c r="AX126" s="618"/>
      <c r="AY126" s="618"/>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52"/>
      <c r="CD126" s="52"/>
      <c r="CE126" s="52"/>
      <c r="CF126" s="52"/>
      <c r="CG126" s="52"/>
      <c r="CH126" s="52"/>
      <c r="CI126" s="52"/>
      <c r="CJ126" s="52"/>
      <c r="CK126" s="52"/>
      <c r="CL126" s="52"/>
      <c r="CM126" s="52"/>
      <c r="CN126" s="52"/>
      <c r="CO126" s="52"/>
      <c r="CP126" s="52"/>
      <c r="CQ126" s="52"/>
      <c r="CR126" s="52"/>
      <c r="CS126" s="52"/>
      <c r="CT126" s="52"/>
      <c r="CU126" s="52"/>
      <c r="CV126" s="52"/>
      <c r="CW126" s="52"/>
      <c r="CX126" s="52"/>
      <c r="CY126" s="52"/>
      <c r="CZ126" s="52"/>
      <c r="DA126" s="52"/>
      <c r="DB126" s="52"/>
      <c r="DC126" s="52"/>
      <c r="DD126" s="52"/>
      <c r="DE126" s="52"/>
      <c r="DF126" s="52"/>
      <c r="DG126" s="52"/>
      <c r="DH126" s="52"/>
      <c r="DI126" s="52"/>
      <c r="DJ126" s="52"/>
      <c r="DK126" s="52"/>
      <c r="DL126" s="52"/>
      <c r="DM126" s="52"/>
      <c r="DN126" s="52"/>
      <c r="DO126" s="52"/>
      <c r="DP126" s="52"/>
      <c r="DQ126" s="52"/>
      <c r="DR126" s="52"/>
      <c r="DS126" s="52"/>
      <c r="DT126" s="52"/>
      <c r="DU126" s="52"/>
      <c r="DV126" s="52"/>
      <c r="DW126" s="52"/>
      <c r="DX126" s="52"/>
      <c r="DY126" s="52"/>
      <c r="DZ126" s="52"/>
      <c r="EA126" s="52"/>
      <c r="EB126" s="52"/>
      <c r="EC126" s="52"/>
      <c r="ED126" s="52"/>
      <c r="EE126" s="52"/>
      <c r="EF126" s="52"/>
      <c r="EG126" s="52"/>
      <c r="EH126" s="52"/>
      <c r="EI126" s="52"/>
      <c r="EJ126" s="52"/>
      <c r="EK126" s="52"/>
      <c r="EL126" s="52"/>
      <c r="EM126" s="52"/>
      <c r="EN126" s="52"/>
      <c r="EO126" s="52"/>
      <c r="EP126" s="52"/>
      <c r="EQ126" s="52"/>
      <c r="ER126" s="52"/>
      <c r="ES126" s="52"/>
      <c r="ET126" s="52"/>
      <c r="EU126" s="52"/>
      <c r="EV126" s="52"/>
      <c r="EW126" s="52"/>
      <c r="EX126" s="52"/>
      <c r="EY126" s="52"/>
      <c r="EZ126" s="52"/>
      <c r="FA126" s="52"/>
      <c r="FB126" s="52"/>
      <c r="FC126" s="52"/>
      <c r="FD126" s="52"/>
      <c r="FE126" s="52"/>
      <c r="FF126" s="52"/>
      <c r="FG126" s="52"/>
      <c r="FH126" s="52"/>
      <c r="FI126" s="52"/>
      <c r="FJ126" s="52"/>
      <c r="FK126" s="52"/>
      <c r="FL126" s="52"/>
      <c r="FM126" s="52"/>
      <c r="FN126" s="52"/>
      <c r="FO126" s="52"/>
      <c r="FP126" s="52"/>
      <c r="FQ126" s="52"/>
      <c r="FR126" s="52"/>
      <c r="FS126" s="52"/>
      <c r="FT126" s="52"/>
      <c r="FU126" s="52"/>
    </row>
    <row r="127" spans="1:177" ht="11.25" customHeight="1">
      <c r="A127" s="242"/>
      <c r="B127" s="629"/>
      <c r="C127" s="609"/>
      <c r="D127" s="631"/>
      <c r="E127" s="530"/>
      <c r="F127" s="637"/>
      <c r="G127" s="639"/>
      <c r="H127" s="638"/>
      <c r="I127" s="635"/>
      <c r="J127" s="312"/>
      <c r="K127" s="13"/>
      <c r="L127" s="13"/>
      <c r="M127" s="13"/>
      <c r="N127" s="13"/>
      <c r="O127" s="13"/>
      <c r="P127" s="13"/>
      <c r="Q127" s="13"/>
      <c r="R127" s="13"/>
      <c r="S127" s="311"/>
      <c r="T127" s="93"/>
      <c r="U127" s="311"/>
      <c r="V127" s="277" t="s">
        <v>306</v>
      </c>
      <c r="W127" s="27"/>
      <c r="X127" s="27"/>
      <c r="Y127" s="27"/>
      <c r="Z127" s="25"/>
      <c r="AA127" s="27"/>
      <c r="AB127" s="27"/>
      <c r="AC127" s="27"/>
      <c r="AD127" s="624"/>
      <c r="AE127" s="637"/>
      <c r="AF127" s="637"/>
      <c r="AG127" s="637"/>
      <c r="AH127" s="637"/>
      <c r="AI127" s="637"/>
      <c r="AJ127" s="637"/>
      <c r="AK127" s="637"/>
      <c r="AL127" s="637"/>
      <c r="AM127" s="637"/>
      <c r="AN127" s="637"/>
      <c r="AO127" s="637"/>
      <c r="AP127" s="533"/>
      <c r="AQ127" s="533"/>
      <c r="AR127" s="533"/>
      <c r="AS127" s="533"/>
      <c r="AT127" s="624"/>
      <c r="AU127" s="618"/>
      <c r="AV127" s="618"/>
      <c r="AW127" s="618"/>
      <c r="AX127" s="618"/>
      <c r="AY127" s="618"/>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52"/>
      <c r="CD127" s="52"/>
      <c r="CE127" s="52"/>
      <c r="CF127" s="52"/>
      <c r="CG127" s="52"/>
      <c r="CH127" s="52"/>
      <c r="CI127" s="52"/>
      <c r="CJ127" s="52"/>
      <c r="CK127" s="52"/>
      <c r="CL127" s="52"/>
      <c r="CM127" s="52"/>
      <c r="CN127" s="52"/>
      <c r="CO127" s="52"/>
      <c r="CP127" s="52"/>
      <c r="CQ127" s="52"/>
      <c r="CR127" s="52"/>
      <c r="CS127" s="52"/>
      <c r="CT127" s="52"/>
      <c r="CU127" s="52"/>
      <c r="CV127" s="52"/>
      <c r="CW127" s="52"/>
      <c r="CX127" s="52"/>
      <c r="CY127" s="52"/>
      <c r="CZ127" s="52"/>
      <c r="DA127" s="52"/>
      <c r="DB127" s="52"/>
      <c r="DC127" s="52"/>
      <c r="DD127" s="52"/>
      <c r="DE127" s="52"/>
      <c r="DF127" s="52"/>
      <c r="DG127" s="52"/>
      <c r="DH127" s="52"/>
      <c r="DI127" s="52"/>
      <c r="DJ127" s="52"/>
      <c r="DK127" s="52"/>
      <c r="DL127" s="52"/>
      <c r="DM127" s="52"/>
      <c r="DN127" s="52"/>
      <c r="DO127" s="52"/>
      <c r="DP127" s="52"/>
      <c r="DQ127" s="52"/>
      <c r="DR127" s="52"/>
      <c r="DS127" s="52"/>
      <c r="DT127" s="52"/>
      <c r="DU127" s="52"/>
      <c r="DV127" s="52"/>
      <c r="DW127" s="52"/>
      <c r="DX127" s="52"/>
      <c r="DY127" s="52"/>
      <c r="DZ127" s="52"/>
      <c r="EA127" s="52"/>
      <c r="EB127" s="52"/>
      <c r="EC127" s="52"/>
      <c r="ED127" s="52"/>
      <c r="EE127" s="52"/>
      <c r="EF127" s="52"/>
      <c r="EG127" s="52"/>
      <c r="EH127" s="52"/>
      <c r="EI127" s="52"/>
      <c r="EJ127" s="52"/>
      <c r="EK127" s="52"/>
      <c r="EL127" s="52"/>
      <c r="EM127" s="52"/>
      <c r="EN127" s="52"/>
      <c r="EO127" s="52"/>
      <c r="EP127" s="52"/>
      <c r="EQ127" s="52"/>
      <c r="ER127" s="52"/>
      <c r="ES127" s="52"/>
      <c r="ET127" s="52"/>
      <c r="EU127" s="52"/>
      <c r="EV127" s="52"/>
      <c r="EW127" s="52"/>
      <c r="EX127" s="52"/>
      <c r="EY127" s="52"/>
      <c r="EZ127" s="52"/>
      <c r="FA127" s="52"/>
      <c r="FB127" s="52"/>
      <c r="FC127" s="52"/>
      <c r="FD127" s="52"/>
      <c r="FE127" s="52"/>
      <c r="FF127" s="52"/>
      <c r="FG127" s="52"/>
      <c r="FH127" s="52"/>
      <c r="FI127" s="52"/>
      <c r="FJ127" s="52"/>
      <c r="FK127" s="52"/>
      <c r="FL127" s="52"/>
      <c r="FM127" s="52"/>
      <c r="FN127" s="52"/>
      <c r="FO127" s="52"/>
      <c r="FP127" s="52"/>
      <c r="FQ127" s="52"/>
      <c r="FR127" s="52"/>
      <c r="FS127" s="52"/>
      <c r="FT127" s="52"/>
      <c r="FU127" s="52"/>
    </row>
    <row r="128" spans="1:177" ht="11.25" customHeight="1">
      <c r="A128" s="242"/>
      <c r="B128" s="629"/>
      <c r="C128" s="609"/>
      <c r="D128" s="631"/>
      <c r="E128" s="530"/>
      <c r="F128" s="637"/>
      <c r="G128" s="639"/>
      <c r="H128" s="638"/>
      <c r="I128" s="635"/>
      <c r="J128" s="312"/>
      <c r="K128" s="311"/>
      <c r="L128" s="311"/>
      <c r="M128" s="311"/>
      <c r="N128" s="311"/>
      <c r="O128" s="311"/>
      <c r="P128" s="311"/>
      <c r="Q128" s="311"/>
      <c r="R128" s="311"/>
      <c r="S128" s="311"/>
      <c r="T128" s="93"/>
      <c r="U128" s="311"/>
      <c r="V128" s="13"/>
      <c r="W128" s="13"/>
      <c r="X128" s="13"/>
      <c r="Y128" s="13"/>
      <c r="Z128" s="13"/>
      <c r="AA128" s="13"/>
      <c r="AB128" s="13"/>
      <c r="AC128" s="13"/>
      <c r="AD128" s="624"/>
      <c r="AE128" s="637"/>
      <c r="AF128" s="637"/>
      <c r="AG128" s="637"/>
      <c r="AH128" s="637"/>
      <c r="AI128" s="637"/>
      <c r="AJ128" s="637"/>
      <c r="AK128" s="637"/>
      <c r="AL128" s="637"/>
      <c r="AM128" s="637"/>
      <c r="AN128" s="637"/>
      <c r="AO128" s="637"/>
      <c r="AP128" s="533"/>
      <c r="AQ128" s="533"/>
      <c r="AR128" s="533"/>
      <c r="AS128" s="533"/>
      <c r="AT128" s="624"/>
      <c r="AU128" s="618"/>
      <c r="AV128" s="618"/>
      <c r="AW128" s="618"/>
      <c r="AX128" s="618"/>
      <c r="AY128" s="618"/>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52"/>
      <c r="CD128" s="52"/>
      <c r="CE128" s="52"/>
      <c r="CF128" s="52"/>
      <c r="CG128" s="52"/>
      <c r="CH128" s="52"/>
      <c r="CI128" s="52"/>
      <c r="CJ128" s="52"/>
      <c r="CK128" s="52"/>
      <c r="CL128" s="52"/>
      <c r="CM128" s="52"/>
      <c r="CN128" s="52"/>
      <c r="CO128" s="52"/>
      <c r="CP128" s="52"/>
      <c r="CQ128" s="52"/>
      <c r="CR128" s="52"/>
      <c r="CS128" s="52"/>
      <c r="CT128" s="52"/>
      <c r="CU128" s="52"/>
      <c r="CV128" s="52"/>
      <c r="CW128" s="52"/>
      <c r="CX128" s="52"/>
      <c r="CY128" s="52"/>
      <c r="CZ128" s="52"/>
      <c r="DA128" s="52"/>
      <c r="DB128" s="52"/>
      <c r="DC128" s="52"/>
      <c r="DD128" s="52"/>
      <c r="DE128" s="52"/>
      <c r="DF128" s="52"/>
      <c r="DG128" s="52"/>
      <c r="DH128" s="52"/>
      <c r="DI128" s="52"/>
      <c r="DJ128" s="52"/>
      <c r="DK128" s="52"/>
      <c r="DL128" s="52"/>
      <c r="DM128" s="52"/>
      <c r="DN128" s="52"/>
      <c r="DO128" s="52"/>
      <c r="DP128" s="52"/>
      <c r="DQ128" s="52"/>
      <c r="DR128" s="52"/>
      <c r="DS128" s="52"/>
      <c r="DT128" s="52"/>
      <c r="DU128" s="52"/>
      <c r="DV128" s="52"/>
      <c r="DW128" s="52"/>
      <c r="DX128" s="52"/>
      <c r="DY128" s="52"/>
      <c r="DZ128" s="52"/>
      <c r="EA128" s="52"/>
      <c r="EB128" s="52"/>
      <c r="EC128" s="52"/>
      <c r="ED128" s="52"/>
      <c r="EE128" s="52"/>
      <c r="EF128" s="52"/>
      <c r="EG128" s="52"/>
      <c r="EH128" s="52"/>
      <c r="EI128" s="52"/>
      <c r="EJ128" s="52"/>
      <c r="EK128" s="52"/>
      <c r="EL128" s="52"/>
      <c r="EM128" s="52"/>
      <c r="EN128" s="52"/>
      <c r="EO128" s="52"/>
      <c r="EP128" s="52"/>
      <c r="EQ128" s="52"/>
      <c r="ER128" s="52"/>
      <c r="ES128" s="52"/>
      <c r="ET128" s="52"/>
      <c r="EU128" s="52"/>
      <c r="EV128" s="52"/>
      <c r="EW128" s="52"/>
      <c r="EX128" s="52"/>
      <c r="EY128" s="52"/>
      <c r="EZ128" s="52"/>
      <c r="FA128" s="52"/>
      <c r="FB128" s="52"/>
      <c r="FC128" s="52"/>
      <c r="FD128" s="52"/>
      <c r="FE128" s="52"/>
      <c r="FF128" s="52"/>
      <c r="FG128" s="52"/>
      <c r="FH128" s="52"/>
      <c r="FI128" s="52"/>
      <c r="FJ128" s="52"/>
      <c r="FK128" s="52"/>
      <c r="FL128" s="52"/>
      <c r="FM128" s="52"/>
      <c r="FN128" s="52"/>
      <c r="FO128" s="52"/>
      <c r="FP128" s="52"/>
      <c r="FQ128" s="52"/>
      <c r="FR128" s="52"/>
      <c r="FS128" s="52"/>
      <c r="FT128" s="52"/>
      <c r="FU128" s="52"/>
    </row>
    <row r="129" spans="1:177" ht="11.25" customHeight="1">
      <c r="A129" s="242"/>
      <c r="B129" s="629"/>
      <c r="C129" s="609"/>
      <c r="D129" s="631"/>
      <c r="E129" s="530"/>
      <c r="F129" s="637"/>
      <c r="G129" s="639"/>
      <c r="H129" s="638"/>
      <c r="I129" s="635"/>
      <c r="J129" s="312"/>
      <c r="K129" s="311"/>
      <c r="L129" s="311"/>
      <c r="M129" s="311"/>
      <c r="N129" s="311"/>
      <c r="O129" s="311"/>
      <c r="P129" s="311"/>
      <c r="Q129" s="311"/>
      <c r="R129" s="311"/>
      <c r="S129" s="311"/>
      <c r="T129" s="10"/>
      <c r="U129" s="311"/>
      <c r="V129" s="195"/>
      <c r="W129" s="195"/>
      <c r="X129" s="195"/>
      <c r="Y129" s="195"/>
      <c r="Z129" s="195" t="s">
        <v>281</v>
      </c>
      <c r="AA129" s="195" t="s">
        <v>527</v>
      </c>
      <c r="AB129" s="195" t="s">
        <v>282</v>
      </c>
      <c r="AC129" s="195" t="s">
        <v>94</v>
      </c>
      <c r="AD129" s="543"/>
      <c r="AE129" s="637"/>
      <c r="AF129" s="637"/>
      <c r="AG129" s="637"/>
      <c r="AH129" s="637"/>
      <c r="AI129" s="637"/>
      <c r="AJ129" s="637"/>
      <c r="AK129" s="637"/>
      <c r="AL129" s="637"/>
      <c r="AM129" s="637"/>
      <c r="AN129" s="637"/>
      <c r="AO129" s="637"/>
      <c r="AP129" s="533"/>
      <c r="AQ129" s="533"/>
      <c r="AR129" s="533"/>
      <c r="AS129" s="533"/>
      <c r="AT129" s="624"/>
      <c r="AU129" s="618"/>
      <c r="AV129" s="618"/>
      <c r="AW129" s="618"/>
      <c r="AX129" s="618"/>
      <c r="AY129" s="618"/>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52"/>
      <c r="CD129" s="52"/>
      <c r="CE129" s="52"/>
      <c r="CF129" s="52"/>
      <c r="CG129" s="52"/>
      <c r="CH129" s="52"/>
      <c r="CI129" s="52"/>
      <c r="CJ129" s="52"/>
      <c r="CK129" s="52"/>
      <c r="CL129" s="52"/>
      <c r="CM129" s="52"/>
      <c r="CN129" s="52"/>
      <c r="CO129" s="52"/>
      <c r="CP129" s="52"/>
      <c r="CQ129" s="52"/>
      <c r="CR129" s="52"/>
      <c r="CS129" s="52"/>
      <c r="CT129" s="52"/>
      <c r="CU129" s="52"/>
      <c r="CV129" s="52"/>
      <c r="CW129" s="52"/>
      <c r="CX129" s="52"/>
      <c r="CY129" s="52"/>
      <c r="CZ129" s="52"/>
      <c r="DA129" s="52"/>
      <c r="DB129" s="52"/>
      <c r="DC129" s="52"/>
      <c r="DD129" s="52"/>
      <c r="DE129" s="52"/>
      <c r="DF129" s="52"/>
      <c r="DG129" s="52"/>
      <c r="DH129" s="52"/>
      <c r="DI129" s="52"/>
      <c r="DJ129" s="52"/>
      <c r="DK129" s="52"/>
      <c r="DL129" s="52"/>
      <c r="DM129" s="52"/>
      <c r="DN129" s="52"/>
      <c r="DO129" s="52"/>
      <c r="DP129" s="52"/>
      <c r="DQ129" s="52"/>
      <c r="DR129" s="52"/>
      <c r="DS129" s="52"/>
      <c r="DT129" s="52"/>
      <c r="DU129" s="52"/>
      <c r="DV129" s="52"/>
      <c r="DW129" s="52"/>
      <c r="DX129" s="52"/>
      <c r="DY129" s="52"/>
      <c r="DZ129" s="52"/>
      <c r="EA129" s="52"/>
      <c r="EB129" s="52"/>
      <c r="EC129" s="52"/>
      <c r="ED129" s="52"/>
      <c r="EE129" s="52"/>
      <c r="EF129" s="52"/>
      <c r="EG129" s="52"/>
      <c r="EH129" s="52"/>
      <c r="EI129" s="52"/>
      <c r="EJ129" s="52"/>
      <c r="EK129" s="52"/>
      <c r="EL129" s="52"/>
      <c r="EM129" s="52"/>
      <c r="EN129" s="52"/>
      <c r="EO129" s="52"/>
      <c r="EP129" s="52"/>
      <c r="EQ129" s="52"/>
      <c r="ER129" s="52"/>
      <c r="ES129" s="52"/>
      <c r="ET129" s="52"/>
      <c r="EU129" s="52"/>
      <c r="EV129" s="52"/>
      <c r="EW129" s="52"/>
      <c r="EX129" s="52"/>
      <c r="EY129" s="52"/>
      <c r="EZ129" s="52"/>
      <c r="FA129" s="52"/>
      <c r="FB129" s="52"/>
      <c r="FC129" s="52"/>
      <c r="FD129" s="52"/>
      <c r="FE129" s="52"/>
      <c r="FF129" s="52"/>
      <c r="FG129" s="52"/>
      <c r="FH129" s="52"/>
      <c r="FI129" s="52"/>
      <c r="FJ129" s="52"/>
      <c r="FK129" s="52"/>
      <c r="FL129" s="52"/>
      <c r="FM129" s="52"/>
      <c r="FN129" s="52"/>
      <c r="FO129" s="52"/>
      <c r="FP129" s="52"/>
      <c r="FQ129" s="52"/>
      <c r="FR129" s="52"/>
      <c r="FS129" s="52"/>
      <c r="FT129" s="52"/>
      <c r="FU129" s="52"/>
    </row>
    <row r="130" spans="1:177" ht="11.25" customHeight="1">
      <c r="A130" s="242"/>
      <c r="B130" s="629"/>
      <c r="C130" s="609"/>
      <c r="D130" s="631"/>
      <c r="E130" s="530"/>
      <c r="F130" s="637"/>
      <c r="G130" s="639"/>
      <c r="H130" s="638"/>
      <c r="I130" s="635"/>
      <c r="J130" s="312"/>
      <c r="K130" s="311"/>
      <c r="L130" s="311"/>
      <c r="M130" s="311"/>
      <c r="N130" s="311"/>
      <c r="O130" s="311"/>
      <c r="P130" s="311"/>
      <c r="Q130" s="311"/>
      <c r="R130" s="311"/>
      <c r="S130" s="311"/>
      <c r="T130" s="308"/>
      <c r="U130" s="311"/>
      <c r="V130" s="167"/>
      <c r="W130" s="167"/>
      <c r="X130" s="167"/>
      <c r="Y130" s="167"/>
      <c r="Z130" s="167" t="s">
        <v>227</v>
      </c>
      <c r="AA130" s="167" t="s">
        <v>227</v>
      </c>
      <c r="AB130" s="167" t="s">
        <v>228</v>
      </c>
      <c r="AC130" s="167" t="s">
        <v>228</v>
      </c>
      <c r="AD130" s="624"/>
      <c r="AE130" s="637"/>
      <c r="AF130" s="637"/>
      <c r="AG130" s="637"/>
      <c r="AH130" s="637"/>
      <c r="AI130" s="637"/>
      <c r="AJ130" s="637"/>
      <c r="AK130" s="637"/>
      <c r="AL130" s="637"/>
      <c r="AM130" s="637"/>
      <c r="AN130" s="637"/>
      <c r="AO130" s="637"/>
      <c r="AP130" s="533"/>
      <c r="AQ130" s="533"/>
      <c r="AR130" s="533"/>
      <c r="AS130" s="533"/>
      <c r="AT130" s="624"/>
      <c r="AU130" s="618"/>
      <c r="AV130" s="618"/>
      <c r="AW130" s="618"/>
      <c r="AX130" s="618"/>
      <c r="AY130" s="618"/>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52"/>
      <c r="CD130" s="52"/>
      <c r="CE130" s="52"/>
      <c r="CF130" s="52"/>
      <c r="CG130" s="52"/>
      <c r="CH130" s="52"/>
      <c r="CI130" s="52"/>
      <c r="CJ130" s="52"/>
      <c r="CK130" s="52"/>
      <c r="CL130" s="52"/>
      <c r="CM130" s="52"/>
      <c r="CN130" s="52"/>
      <c r="CO130" s="52"/>
      <c r="CP130" s="52"/>
      <c r="CQ130" s="52"/>
      <c r="CR130" s="52"/>
      <c r="CS130" s="52"/>
      <c r="CT130" s="52"/>
      <c r="CU130" s="52"/>
      <c r="CV130" s="52"/>
      <c r="CW130" s="52"/>
      <c r="CX130" s="52"/>
      <c r="CY130" s="52"/>
      <c r="CZ130" s="52"/>
      <c r="DA130" s="52"/>
      <c r="DB130" s="52"/>
      <c r="DC130" s="52"/>
      <c r="DD130" s="52"/>
      <c r="DE130" s="52"/>
      <c r="DF130" s="52"/>
      <c r="DG130" s="52"/>
      <c r="DH130" s="52"/>
      <c r="DI130" s="52"/>
      <c r="DJ130" s="52"/>
      <c r="DK130" s="52"/>
      <c r="DL130" s="52"/>
      <c r="DM130" s="52"/>
      <c r="DN130" s="52"/>
      <c r="DO130" s="52"/>
      <c r="DP130" s="52"/>
      <c r="DQ130" s="52"/>
      <c r="DR130" s="52"/>
      <c r="DS130" s="52"/>
      <c r="DT130" s="52"/>
      <c r="DU130" s="52"/>
      <c r="DV130" s="52"/>
      <c r="DW130" s="52"/>
      <c r="DX130" s="52"/>
      <c r="DY130" s="52"/>
      <c r="DZ130" s="52"/>
      <c r="EA130" s="52"/>
      <c r="EB130" s="52"/>
      <c r="EC130" s="52"/>
      <c r="ED130" s="52"/>
      <c r="EE130" s="52"/>
      <c r="EF130" s="52"/>
      <c r="EG130" s="52"/>
      <c r="EH130" s="52"/>
      <c r="EI130" s="52"/>
      <c r="EJ130" s="52"/>
      <c r="EK130" s="52"/>
      <c r="EL130" s="52"/>
      <c r="EM130" s="52"/>
      <c r="EN130" s="52"/>
      <c r="EO130" s="52"/>
      <c r="EP130" s="52"/>
      <c r="EQ130" s="52"/>
      <c r="ER130" s="52"/>
      <c r="ES130" s="52"/>
      <c r="ET130" s="52"/>
      <c r="EU130" s="52"/>
      <c r="EV130" s="52"/>
      <c r="EW130" s="52"/>
      <c r="EX130" s="52"/>
      <c r="EY130" s="52"/>
      <c r="EZ130" s="52"/>
      <c r="FA130" s="52"/>
      <c r="FB130" s="52"/>
      <c r="FC130" s="52"/>
      <c r="FD130" s="52"/>
      <c r="FE130" s="52"/>
      <c r="FF130" s="52"/>
      <c r="FG130" s="52"/>
      <c r="FH130" s="52"/>
      <c r="FI130" s="52"/>
      <c r="FJ130" s="52"/>
      <c r="FK130" s="52"/>
      <c r="FL130" s="52"/>
      <c r="FM130" s="52"/>
      <c r="FN130" s="52"/>
      <c r="FO130" s="52"/>
      <c r="FP130" s="52"/>
      <c r="FQ130" s="52"/>
      <c r="FR130" s="52"/>
      <c r="FS130" s="52"/>
      <c r="FT130" s="52"/>
      <c r="FU130" s="52"/>
    </row>
    <row r="131" spans="1:177" ht="11.25" customHeight="1">
      <c r="A131" s="242"/>
      <c r="B131" s="629"/>
      <c r="C131" s="609"/>
      <c r="D131" s="631"/>
      <c r="E131" s="530"/>
      <c r="F131" s="637"/>
      <c r="G131" s="639"/>
      <c r="H131" s="638"/>
      <c r="I131" s="635"/>
      <c r="J131" s="312"/>
      <c r="K131" s="311"/>
      <c r="L131" s="311"/>
      <c r="M131" s="311"/>
      <c r="N131" s="311"/>
      <c r="O131" s="311"/>
      <c r="P131" s="311"/>
      <c r="Q131" s="311"/>
      <c r="R131" s="311"/>
      <c r="S131" s="311"/>
      <c r="T131" s="308"/>
      <c r="U131" s="311"/>
      <c r="V131" s="167"/>
      <c r="W131" s="167"/>
      <c r="X131" s="167"/>
      <c r="Y131" s="167"/>
      <c r="Z131" s="167"/>
      <c r="AA131" s="167"/>
      <c r="AB131" s="167"/>
      <c r="AC131" s="167"/>
      <c r="AD131" s="652"/>
      <c r="AE131" s="637"/>
      <c r="AF131" s="637"/>
      <c r="AG131" s="637"/>
      <c r="AH131" s="637"/>
      <c r="AI131" s="637"/>
      <c r="AJ131" s="637"/>
      <c r="AK131" s="637"/>
      <c r="AL131" s="637"/>
      <c r="AM131" s="637"/>
      <c r="AN131" s="637"/>
      <c r="AO131" s="637"/>
      <c r="AP131" s="533"/>
      <c r="AQ131" s="533"/>
      <c r="AR131" s="533"/>
      <c r="AS131" s="533"/>
      <c r="AT131" s="624"/>
      <c r="AU131" s="618"/>
      <c r="AV131" s="618"/>
      <c r="AW131" s="618"/>
      <c r="AX131" s="618"/>
      <c r="AY131" s="618"/>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52"/>
      <c r="CD131" s="52"/>
      <c r="CE131" s="52"/>
      <c r="CF131" s="52"/>
      <c r="CG131" s="52"/>
      <c r="CH131" s="52"/>
      <c r="CI131" s="52"/>
      <c r="CJ131" s="52"/>
      <c r="CK131" s="52"/>
      <c r="CL131" s="52"/>
      <c r="CM131" s="52"/>
      <c r="CN131" s="52"/>
      <c r="CO131" s="52"/>
      <c r="CP131" s="52"/>
      <c r="CQ131" s="52"/>
      <c r="CR131" s="52"/>
      <c r="CS131" s="52"/>
      <c r="CT131" s="52"/>
      <c r="CU131" s="52"/>
      <c r="CV131" s="52"/>
      <c r="CW131" s="52"/>
      <c r="CX131" s="52"/>
      <c r="CY131" s="52"/>
      <c r="CZ131" s="52"/>
      <c r="DA131" s="52"/>
      <c r="DB131" s="52"/>
      <c r="DC131" s="52"/>
      <c r="DD131" s="52"/>
      <c r="DE131" s="52"/>
      <c r="DF131" s="52"/>
      <c r="DG131" s="52"/>
      <c r="DH131" s="52"/>
      <c r="DI131" s="52"/>
      <c r="DJ131" s="52"/>
      <c r="DK131" s="52"/>
      <c r="DL131" s="52"/>
      <c r="DM131" s="52"/>
      <c r="DN131" s="52"/>
      <c r="DO131" s="52"/>
      <c r="DP131" s="52"/>
      <c r="DQ131" s="52"/>
      <c r="DR131" s="52"/>
      <c r="DS131" s="52"/>
      <c r="DT131" s="52"/>
      <c r="DU131" s="52"/>
      <c r="DV131" s="52"/>
      <c r="DW131" s="52"/>
      <c r="DX131" s="52"/>
      <c r="DY131" s="52"/>
      <c r="DZ131" s="52"/>
      <c r="EA131" s="52"/>
      <c r="EB131" s="52"/>
      <c r="EC131" s="52"/>
      <c r="ED131" s="52"/>
      <c r="EE131" s="52"/>
      <c r="EF131" s="52"/>
      <c r="EG131" s="52"/>
      <c r="EH131" s="52"/>
      <c r="EI131" s="52"/>
      <c r="EJ131" s="52"/>
      <c r="EK131" s="52"/>
      <c r="EL131" s="52"/>
      <c r="EM131" s="52"/>
      <c r="EN131" s="52"/>
      <c r="EO131" s="52"/>
      <c r="EP131" s="52"/>
      <c r="EQ131" s="52"/>
      <c r="ER131" s="52"/>
      <c r="ES131" s="52"/>
      <c r="ET131" s="52"/>
      <c r="EU131" s="52"/>
      <c r="EV131" s="52"/>
      <c r="EW131" s="52"/>
      <c r="EX131" s="52"/>
      <c r="EY131" s="52"/>
      <c r="EZ131" s="52"/>
      <c r="FA131" s="52"/>
      <c r="FB131" s="52"/>
      <c r="FC131" s="52"/>
      <c r="FD131" s="52"/>
      <c r="FE131" s="52"/>
      <c r="FF131" s="52"/>
      <c r="FG131" s="52"/>
      <c r="FH131" s="52"/>
      <c r="FI131" s="52"/>
      <c r="FJ131" s="52"/>
      <c r="FK131" s="52"/>
      <c r="FL131" s="52"/>
      <c r="FM131" s="52"/>
      <c r="FN131" s="52"/>
      <c r="FO131" s="52"/>
      <c r="FP131" s="52"/>
      <c r="FQ131" s="52"/>
      <c r="FR131" s="52"/>
      <c r="FS131" s="52"/>
      <c r="FT131" s="52"/>
      <c r="FU131" s="52"/>
    </row>
    <row r="132" spans="1:177" ht="11.25" customHeight="1">
      <c r="A132" s="316"/>
      <c r="B132" s="629"/>
      <c r="C132" s="609"/>
      <c r="D132" s="631"/>
      <c r="E132" s="530"/>
      <c r="F132" s="637"/>
      <c r="G132" s="639"/>
      <c r="H132" s="638"/>
      <c r="I132" s="635"/>
      <c r="J132" s="312"/>
      <c r="K132" s="311"/>
      <c r="L132" s="311"/>
      <c r="M132" s="311"/>
      <c r="N132" s="311"/>
      <c r="O132" s="311"/>
      <c r="P132" s="311"/>
      <c r="Q132" s="311"/>
      <c r="R132" s="311"/>
      <c r="S132" s="311"/>
      <c r="T132" s="308"/>
      <c r="U132" s="311"/>
      <c r="V132" s="13" t="s">
        <v>280</v>
      </c>
      <c r="W132" s="13"/>
      <c r="X132" s="13"/>
      <c r="Y132" s="13"/>
      <c r="Z132" s="13">
        <f>Z84/'ET-luvun Laskenta'!C28</f>
        <v>38.8456621979479</v>
      </c>
      <c r="AA132" s="13">
        <f>Z84/'ET-luvun Laskenta'!C29</f>
        <v>48.55707774743488</v>
      </c>
      <c r="AB132" s="13">
        <f>Z84/'ET-luvun Laskenta'!C27</f>
        <v>11.259612231289248</v>
      </c>
      <c r="AC132" s="13">
        <f>Z84/'ET-luvun Laskenta'!C32</f>
        <v>18.067749859510652</v>
      </c>
      <c r="AD132" s="653"/>
      <c r="AE132" s="637"/>
      <c r="AF132" s="637"/>
      <c r="AG132" s="637"/>
      <c r="AH132" s="637"/>
      <c r="AI132" s="637"/>
      <c r="AJ132" s="637"/>
      <c r="AK132" s="637"/>
      <c r="AL132" s="637"/>
      <c r="AM132" s="637"/>
      <c r="AN132" s="637"/>
      <c r="AO132" s="637"/>
      <c r="AP132" s="533"/>
      <c r="AQ132" s="533"/>
      <c r="AR132" s="533"/>
      <c r="AS132" s="533"/>
      <c r="AT132" s="624"/>
      <c r="AU132" s="618"/>
      <c r="AV132" s="618"/>
      <c r="AW132" s="618"/>
      <c r="AX132" s="618"/>
      <c r="AY132" s="618"/>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52"/>
      <c r="CD132" s="52"/>
      <c r="CE132" s="52"/>
      <c r="CF132" s="52"/>
      <c r="CG132" s="52"/>
      <c r="CH132" s="52"/>
      <c r="CI132" s="52"/>
      <c r="CJ132" s="52"/>
      <c r="CK132" s="52"/>
      <c r="CL132" s="52"/>
      <c r="CM132" s="52"/>
      <c r="CN132" s="52"/>
      <c r="CO132" s="52"/>
      <c r="CP132" s="52"/>
      <c r="CQ132" s="52"/>
      <c r="CR132" s="52"/>
      <c r="CS132" s="52"/>
      <c r="CT132" s="52"/>
      <c r="CU132" s="52"/>
      <c r="CV132" s="52"/>
      <c r="CW132" s="52"/>
      <c r="CX132" s="52"/>
      <c r="CY132" s="52"/>
      <c r="CZ132" s="52"/>
      <c r="DA132" s="52"/>
      <c r="DB132" s="52"/>
      <c r="DC132" s="52"/>
      <c r="DD132" s="52"/>
      <c r="DE132" s="52"/>
      <c r="DF132" s="52"/>
      <c r="DG132" s="52"/>
      <c r="DH132" s="52"/>
      <c r="DI132" s="52"/>
      <c r="DJ132" s="52"/>
      <c r="DK132" s="52"/>
      <c r="DL132" s="52"/>
      <c r="DM132" s="52"/>
      <c r="DN132" s="52"/>
      <c r="DO132" s="52"/>
      <c r="DP132" s="52"/>
      <c r="DQ132" s="52"/>
      <c r="DR132" s="52"/>
      <c r="DS132" s="52"/>
      <c r="DT132" s="52"/>
      <c r="DU132" s="52"/>
      <c r="DV132" s="52"/>
      <c r="DW132" s="52"/>
      <c r="DX132" s="52"/>
      <c r="DY132" s="52"/>
      <c r="DZ132" s="52"/>
      <c r="EA132" s="52"/>
      <c r="EB132" s="52"/>
      <c r="EC132" s="52"/>
      <c r="ED132" s="52"/>
      <c r="EE132" s="52"/>
      <c r="EF132" s="52"/>
      <c r="EG132" s="52"/>
      <c r="EH132" s="52"/>
      <c r="EI132" s="52"/>
      <c r="EJ132" s="52"/>
      <c r="EK132" s="52"/>
      <c r="EL132" s="52"/>
      <c r="EM132" s="52"/>
      <c r="EN132" s="52"/>
      <c r="EO132" s="52"/>
      <c r="EP132" s="52"/>
      <c r="EQ132" s="52"/>
      <c r="ER132" s="52"/>
      <c r="ES132" s="52"/>
      <c r="ET132" s="52"/>
      <c r="EU132" s="52"/>
      <c r="EV132" s="52"/>
      <c r="EW132" s="52"/>
      <c r="EX132" s="52"/>
      <c r="EY132" s="52"/>
      <c r="EZ132" s="52"/>
      <c r="FA132" s="52"/>
      <c r="FB132" s="52"/>
      <c r="FC132" s="52"/>
      <c r="FD132" s="52"/>
      <c r="FE132" s="52"/>
      <c r="FF132" s="52"/>
      <c r="FG132" s="52"/>
      <c r="FH132" s="52"/>
      <c r="FI132" s="52"/>
      <c r="FJ132" s="52"/>
      <c r="FK132" s="52"/>
      <c r="FL132" s="52"/>
      <c r="FM132" s="52"/>
      <c r="FN132" s="52"/>
      <c r="FO132" s="52"/>
      <c r="FP132" s="52"/>
      <c r="FQ132" s="52"/>
      <c r="FR132" s="52"/>
      <c r="FS132" s="52"/>
      <c r="FT132" s="52"/>
      <c r="FU132" s="52"/>
    </row>
    <row r="133" spans="1:177" ht="11.25" customHeight="1">
      <c r="A133" s="316"/>
      <c r="B133" s="629"/>
      <c r="C133" s="609"/>
      <c r="D133" s="631"/>
      <c r="E133" s="530"/>
      <c r="F133" s="634"/>
      <c r="G133" s="639"/>
      <c r="H133" s="638"/>
      <c r="I133" s="635"/>
      <c r="J133" s="312"/>
      <c r="K133" s="311"/>
      <c r="L133" s="311"/>
      <c r="M133" s="311"/>
      <c r="N133" s="311"/>
      <c r="O133" s="311"/>
      <c r="P133" s="311"/>
      <c r="Q133" s="311"/>
      <c r="R133" s="311"/>
      <c r="S133" s="311"/>
      <c r="T133" s="308"/>
      <c r="U133" s="311"/>
      <c r="V133" s="13" t="s">
        <v>283</v>
      </c>
      <c r="W133" s="13"/>
      <c r="X133" s="13"/>
      <c r="Y133" s="13"/>
      <c r="Z133" s="13">
        <f>Z90/'ET-luvun Laskenta'!C28</f>
        <v>30.9678375</v>
      </c>
      <c r="AA133" s="13">
        <f>Z90/'ET-luvun Laskenta'!C29</f>
        <v>38.709796875</v>
      </c>
      <c r="AB133" s="13">
        <f>Z90/'ET-luvun Laskenta'!C27</f>
        <v>8.976184782608696</v>
      </c>
      <c r="AC133" s="13">
        <f>Z90/'ET-luvun Laskenta'!C32</f>
        <v>14.403645348837209</v>
      </c>
      <c r="AD133" s="653"/>
      <c r="AE133" s="637"/>
      <c r="AF133" s="637"/>
      <c r="AG133" s="637"/>
      <c r="AH133" s="637"/>
      <c r="AI133" s="637"/>
      <c r="AJ133" s="637"/>
      <c r="AK133" s="637"/>
      <c r="AL133" s="637"/>
      <c r="AM133" s="637"/>
      <c r="AN133" s="637"/>
      <c r="AO133" s="637"/>
      <c r="AP133" s="533"/>
      <c r="AQ133" s="533"/>
      <c r="AR133" s="533"/>
      <c r="AS133" s="533"/>
      <c r="AT133" s="624"/>
      <c r="AU133" s="618"/>
      <c r="AV133" s="618"/>
      <c r="AW133" s="618"/>
      <c r="AX133" s="618"/>
      <c r="AY133" s="618"/>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52"/>
      <c r="CD133" s="52"/>
      <c r="CE133" s="52"/>
      <c r="CF133" s="52"/>
      <c r="CG133" s="52"/>
      <c r="CH133" s="52"/>
      <c r="CI133" s="52"/>
      <c r="CJ133" s="52"/>
      <c r="CK133" s="52"/>
      <c r="CL133" s="52"/>
      <c r="CM133" s="52"/>
      <c r="CN133" s="52"/>
      <c r="CO133" s="52"/>
      <c r="CP133" s="52"/>
      <c r="CQ133" s="52"/>
      <c r="CR133" s="52"/>
      <c r="CS133" s="52"/>
      <c r="CT133" s="52"/>
      <c r="CU133" s="52"/>
      <c r="CV133" s="52"/>
      <c r="CW133" s="52"/>
      <c r="CX133" s="52"/>
      <c r="CY133" s="52"/>
      <c r="CZ133" s="52"/>
      <c r="DA133" s="52"/>
      <c r="DB133" s="52"/>
      <c r="DC133" s="52"/>
      <c r="DD133" s="52"/>
      <c r="DE133" s="52"/>
      <c r="DF133" s="52"/>
      <c r="DG133" s="52"/>
      <c r="DH133" s="52"/>
      <c r="DI133" s="52"/>
      <c r="DJ133" s="52"/>
      <c r="DK133" s="52"/>
      <c r="DL133" s="52"/>
      <c r="DM133" s="52"/>
      <c r="DN133" s="52"/>
      <c r="DO133" s="52"/>
      <c r="DP133" s="52"/>
      <c r="DQ133" s="52"/>
      <c r="DR133" s="52"/>
      <c r="DS133" s="52"/>
      <c r="DT133" s="52"/>
      <c r="DU133" s="52"/>
      <c r="DV133" s="52"/>
      <c r="DW133" s="52"/>
      <c r="DX133" s="52"/>
      <c r="DY133" s="52"/>
      <c r="DZ133" s="52"/>
      <c r="EA133" s="52"/>
      <c r="EB133" s="52"/>
      <c r="EC133" s="52"/>
      <c r="ED133" s="52"/>
      <c r="EE133" s="52"/>
      <c r="EF133" s="52"/>
      <c r="EG133" s="52"/>
      <c r="EH133" s="52"/>
      <c r="EI133" s="52"/>
      <c r="EJ133" s="52"/>
      <c r="EK133" s="52"/>
      <c r="EL133" s="52"/>
      <c r="EM133" s="52"/>
      <c r="EN133" s="52"/>
      <c r="EO133" s="52"/>
      <c r="EP133" s="52"/>
      <c r="EQ133" s="52"/>
      <c r="ER133" s="52"/>
      <c r="ES133" s="52"/>
      <c r="ET133" s="52"/>
      <c r="EU133" s="52"/>
      <c r="EV133" s="52"/>
      <c r="EW133" s="52"/>
      <c r="EX133" s="52"/>
      <c r="EY133" s="52"/>
      <c r="EZ133" s="52"/>
      <c r="FA133" s="52"/>
      <c r="FB133" s="52"/>
      <c r="FC133" s="52"/>
      <c r="FD133" s="52"/>
      <c r="FE133" s="52"/>
      <c r="FF133" s="52"/>
      <c r="FG133" s="52"/>
      <c r="FH133" s="52"/>
      <c r="FI133" s="52"/>
      <c r="FJ133" s="52"/>
      <c r="FK133" s="52"/>
      <c r="FL133" s="52"/>
      <c r="FM133" s="52"/>
      <c r="FN133" s="52"/>
      <c r="FO133" s="52"/>
      <c r="FP133" s="52"/>
      <c r="FQ133" s="52"/>
      <c r="FR133" s="52"/>
      <c r="FS133" s="52"/>
      <c r="FT133" s="52"/>
      <c r="FU133" s="52"/>
    </row>
    <row r="134" spans="1:177" ht="11.25" customHeight="1">
      <c r="A134" s="316"/>
      <c r="B134" s="629"/>
      <c r="C134" s="640"/>
      <c r="D134" s="641"/>
      <c r="E134" s="523"/>
      <c r="F134" s="530"/>
      <c r="G134" s="619"/>
      <c r="H134" s="642"/>
      <c r="I134" s="621"/>
      <c r="J134" s="312"/>
      <c r="K134" s="311"/>
      <c r="L134" s="311"/>
      <c r="M134" s="311"/>
      <c r="N134" s="311"/>
      <c r="O134" s="311"/>
      <c r="P134" s="311"/>
      <c r="Q134" s="311"/>
      <c r="R134" s="311"/>
      <c r="S134" s="311"/>
      <c r="T134" s="308"/>
      <c r="U134" s="311"/>
      <c r="V134" s="166" t="s">
        <v>284</v>
      </c>
      <c r="W134" s="166"/>
      <c r="X134" s="166"/>
      <c r="Y134" s="166"/>
      <c r="Z134" s="166">
        <f>SUM(Z132:Z133)</f>
        <v>69.8134996979479</v>
      </c>
      <c r="AA134" s="166">
        <f>SUM(AA132:AA133)</f>
        <v>87.26687462243488</v>
      </c>
      <c r="AB134" s="166">
        <f>SUM(AB132:AB133)</f>
        <v>20.235797013897944</v>
      </c>
      <c r="AC134" s="166">
        <f>SUM(AC132:AC133)</f>
        <v>32.47139520834786</v>
      </c>
      <c r="AD134" s="624"/>
      <c r="AE134" s="637"/>
      <c r="AF134" s="637"/>
      <c r="AG134" s="637"/>
      <c r="AH134" s="637"/>
      <c r="AI134" s="637"/>
      <c r="AJ134" s="637"/>
      <c r="AK134" s="637"/>
      <c r="AL134" s="637"/>
      <c r="AM134" s="637"/>
      <c r="AN134" s="637"/>
      <c r="AO134" s="637"/>
      <c r="AP134" s="533"/>
      <c r="AQ134" s="533"/>
      <c r="AR134" s="533"/>
      <c r="AS134" s="533"/>
      <c r="AT134" s="624"/>
      <c r="AU134" s="618"/>
      <c r="AV134" s="618"/>
      <c r="AW134" s="618"/>
      <c r="AX134" s="618"/>
      <c r="AY134" s="618"/>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52"/>
      <c r="CD134" s="52"/>
      <c r="CE134" s="52"/>
      <c r="CF134" s="52"/>
      <c r="CG134" s="52"/>
      <c r="CH134" s="52"/>
      <c r="CI134" s="52"/>
      <c r="CJ134" s="52"/>
      <c r="CK134" s="52"/>
      <c r="CL134" s="52"/>
      <c r="CM134" s="52"/>
      <c r="CN134" s="52"/>
      <c r="CO134" s="52"/>
      <c r="CP134" s="52"/>
      <c r="CQ134" s="52"/>
      <c r="CR134" s="52"/>
      <c r="CS134" s="52"/>
      <c r="CT134" s="52"/>
      <c r="CU134" s="52"/>
      <c r="CV134" s="52"/>
      <c r="CW134" s="52"/>
      <c r="CX134" s="52"/>
      <c r="CY134" s="52"/>
      <c r="CZ134" s="52"/>
      <c r="DA134" s="52"/>
      <c r="DB134" s="52"/>
      <c r="DC134" s="52"/>
      <c r="DD134" s="52"/>
      <c r="DE134" s="52"/>
      <c r="DF134" s="52"/>
      <c r="DG134" s="52"/>
      <c r="DH134" s="52"/>
      <c r="DI134" s="52"/>
      <c r="DJ134" s="52"/>
      <c r="DK134" s="52"/>
      <c r="DL134" s="52"/>
      <c r="DM134" s="52"/>
      <c r="DN134" s="52"/>
      <c r="DO134" s="52"/>
      <c r="DP134" s="52"/>
      <c r="DQ134" s="52"/>
      <c r="DR134" s="52"/>
      <c r="DS134" s="52"/>
      <c r="DT134" s="52"/>
      <c r="DU134" s="52"/>
      <c r="DV134" s="52"/>
      <c r="DW134" s="52"/>
      <c r="DX134" s="52"/>
      <c r="DY134" s="52"/>
      <c r="DZ134" s="52"/>
      <c r="EA134" s="52"/>
      <c r="EB134" s="52"/>
      <c r="EC134" s="52"/>
      <c r="ED134" s="52"/>
      <c r="EE134" s="52"/>
      <c r="EF134" s="52"/>
      <c r="EG134" s="52"/>
      <c r="EH134" s="52"/>
      <c r="EI134" s="52"/>
      <c r="EJ134" s="52"/>
      <c r="EK134" s="52"/>
      <c r="EL134" s="52"/>
      <c r="EM134" s="52"/>
      <c r="EN134" s="52"/>
      <c r="EO134" s="52"/>
      <c r="EP134" s="52"/>
      <c r="EQ134" s="52"/>
      <c r="ER134" s="52"/>
      <c r="ES134" s="52"/>
      <c r="ET134" s="52"/>
      <c r="EU134" s="52"/>
      <c r="EV134" s="52"/>
      <c r="EW134" s="52"/>
      <c r="EX134" s="52"/>
      <c r="EY134" s="52"/>
      <c r="EZ134" s="52"/>
      <c r="FA134" s="52"/>
      <c r="FB134" s="52"/>
      <c r="FC134" s="52"/>
      <c r="FD134" s="52"/>
      <c r="FE134" s="52"/>
      <c r="FF134" s="52"/>
      <c r="FG134" s="52"/>
      <c r="FH134" s="52"/>
      <c r="FI134" s="52"/>
      <c r="FJ134" s="52"/>
      <c r="FK134" s="52"/>
      <c r="FL134" s="52"/>
      <c r="FM134" s="52"/>
      <c r="FN134" s="52"/>
      <c r="FO134" s="52"/>
      <c r="FP134" s="52"/>
      <c r="FQ134" s="52"/>
      <c r="FR134" s="52"/>
      <c r="FS134" s="52"/>
      <c r="FT134" s="52"/>
      <c r="FU134" s="52"/>
    </row>
    <row r="135" spans="1:177" ht="11.25" customHeight="1">
      <c r="A135" s="316"/>
      <c r="B135" s="629"/>
      <c r="C135" s="640"/>
      <c r="D135" s="641"/>
      <c r="E135" s="523"/>
      <c r="F135" s="530"/>
      <c r="G135" s="619"/>
      <c r="H135" s="642"/>
      <c r="I135" s="621"/>
      <c r="J135" s="312"/>
      <c r="K135" s="311"/>
      <c r="L135" s="311"/>
      <c r="M135" s="311"/>
      <c r="N135" s="311"/>
      <c r="O135" s="311"/>
      <c r="P135" s="311"/>
      <c r="Q135" s="311"/>
      <c r="R135" s="311"/>
      <c r="S135" s="311"/>
      <c r="T135" s="308"/>
      <c r="U135" s="311"/>
      <c r="V135" s="13" t="s">
        <v>225</v>
      </c>
      <c r="W135" s="13"/>
      <c r="X135" s="13"/>
      <c r="Y135" s="13"/>
      <c r="Z135" s="13">
        <f>Z106/'ET-luvun Laskenta'!C28</f>
        <v>50.00000000000001</v>
      </c>
      <c r="AA135" s="13">
        <f>Z106/'ET-luvun Laskenta'!C29</f>
        <v>62.500000000000014</v>
      </c>
      <c r="AB135" s="13">
        <f>Z106/'ET-luvun Laskenta'!C27</f>
        <v>14.492753623188408</v>
      </c>
      <c r="AC135" s="13">
        <f>Z106/'ET-luvun Laskenta'!C32</f>
        <v>23.255813953488378</v>
      </c>
      <c r="AD135" s="624"/>
      <c r="AE135" s="637"/>
      <c r="AF135" s="637"/>
      <c r="AG135" s="637"/>
      <c r="AH135" s="637"/>
      <c r="AI135" s="637"/>
      <c r="AJ135" s="637"/>
      <c r="AK135" s="637"/>
      <c r="AL135" s="637"/>
      <c r="AM135" s="637"/>
      <c r="AN135" s="637"/>
      <c r="AO135" s="637"/>
      <c r="AP135" s="533"/>
      <c r="AQ135" s="533"/>
      <c r="AR135" s="533"/>
      <c r="AS135" s="533"/>
      <c r="AT135" s="624"/>
      <c r="AU135" s="618"/>
      <c r="AV135" s="618"/>
      <c r="AW135" s="618"/>
      <c r="AX135" s="618"/>
      <c r="AY135" s="618"/>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52"/>
      <c r="CD135" s="52"/>
      <c r="CE135" s="52"/>
      <c r="CF135" s="52"/>
      <c r="CG135" s="52"/>
      <c r="CH135" s="52"/>
      <c r="CI135" s="52"/>
      <c r="CJ135" s="52"/>
      <c r="CK135" s="52"/>
      <c r="CL135" s="52"/>
      <c r="CM135" s="52"/>
      <c r="CN135" s="52"/>
      <c r="CO135" s="52"/>
      <c r="CP135" s="52"/>
      <c r="CQ135" s="52"/>
      <c r="CR135" s="52"/>
      <c r="CS135" s="52"/>
      <c r="CT135" s="52"/>
      <c r="CU135" s="52"/>
      <c r="CV135" s="52"/>
      <c r="CW135" s="52"/>
      <c r="CX135" s="52"/>
      <c r="CY135" s="52"/>
      <c r="CZ135" s="52"/>
      <c r="DA135" s="52"/>
      <c r="DB135" s="52"/>
      <c r="DC135" s="52"/>
      <c r="DD135" s="52"/>
      <c r="DE135" s="52"/>
      <c r="DF135" s="52"/>
      <c r="DG135" s="52"/>
      <c r="DH135" s="52"/>
      <c r="DI135" s="52"/>
      <c r="DJ135" s="52"/>
      <c r="DK135" s="52"/>
      <c r="DL135" s="52"/>
      <c r="DM135" s="52"/>
      <c r="DN135" s="52"/>
      <c r="DO135" s="52"/>
      <c r="DP135" s="52"/>
      <c r="DQ135" s="52"/>
      <c r="DR135" s="52"/>
      <c r="DS135" s="52"/>
      <c r="DT135" s="52"/>
      <c r="DU135" s="52"/>
      <c r="DV135" s="52"/>
      <c r="DW135" s="52"/>
      <c r="DX135" s="52"/>
      <c r="DY135" s="52"/>
      <c r="DZ135" s="52"/>
      <c r="EA135" s="52"/>
      <c r="EB135" s="52"/>
      <c r="EC135" s="52"/>
      <c r="ED135" s="52"/>
      <c r="EE135" s="52"/>
      <c r="EF135" s="52"/>
      <c r="EG135" s="52"/>
      <c r="EH135" s="52"/>
      <c r="EI135" s="52"/>
      <c r="EJ135" s="52"/>
      <c r="EK135" s="52"/>
      <c r="EL135" s="52"/>
      <c r="EM135" s="52"/>
      <c r="EN135" s="52"/>
      <c r="EO135" s="52"/>
      <c r="EP135" s="52"/>
      <c r="EQ135" s="52"/>
      <c r="ER135" s="52"/>
      <c r="ES135" s="52"/>
      <c r="ET135" s="52"/>
      <c r="EU135" s="52"/>
      <c r="EV135" s="52"/>
      <c r="EW135" s="52"/>
      <c r="EX135" s="52"/>
      <c r="EY135" s="52"/>
      <c r="EZ135" s="52"/>
      <c r="FA135" s="52"/>
      <c r="FB135" s="52"/>
      <c r="FC135" s="52"/>
      <c r="FD135" s="52"/>
      <c r="FE135" s="52"/>
      <c r="FF135" s="52"/>
      <c r="FG135" s="52"/>
      <c r="FH135" s="52"/>
      <c r="FI135" s="52"/>
      <c r="FJ135" s="52"/>
      <c r="FK135" s="52"/>
      <c r="FL135" s="52"/>
      <c r="FM135" s="52"/>
      <c r="FN135" s="52"/>
      <c r="FO135" s="52"/>
      <c r="FP135" s="52"/>
      <c r="FQ135" s="52"/>
      <c r="FR135" s="52"/>
      <c r="FS135" s="52"/>
      <c r="FT135" s="52"/>
      <c r="FU135" s="52"/>
    </row>
    <row r="136" spans="1:177" ht="11.25" customHeight="1">
      <c r="A136" s="316"/>
      <c r="B136" s="629"/>
      <c r="C136" s="640"/>
      <c r="D136" s="641"/>
      <c r="E136" s="523"/>
      <c r="F136" s="530"/>
      <c r="G136" s="619"/>
      <c r="H136" s="642"/>
      <c r="I136" s="621"/>
      <c r="J136" s="312"/>
      <c r="K136" s="311"/>
      <c r="L136" s="311"/>
      <c r="M136" s="311"/>
      <c r="N136" s="311"/>
      <c r="O136" s="311"/>
      <c r="P136" s="311"/>
      <c r="Q136" s="311"/>
      <c r="R136" s="311"/>
      <c r="S136" s="311"/>
      <c r="T136" s="308"/>
      <c r="U136" s="311"/>
      <c r="V136" s="166" t="s">
        <v>285</v>
      </c>
      <c r="W136" s="166"/>
      <c r="X136" s="166"/>
      <c r="Y136" s="166"/>
      <c r="Z136" s="166">
        <f>SUM(Z134:Z135)</f>
        <v>119.81349969794792</v>
      </c>
      <c r="AA136" s="166">
        <f>SUM(AA134:AA135)</f>
        <v>149.7668746224349</v>
      </c>
      <c r="AB136" s="166">
        <f>SUM(AB134:AB135)</f>
        <v>34.72855063708635</v>
      </c>
      <c r="AC136" s="166">
        <f>SUM(AC134:AC135)</f>
        <v>55.727209161836235</v>
      </c>
      <c r="AD136" s="624"/>
      <c r="AE136" s="637"/>
      <c r="AF136" s="637"/>
      <c r="AG136" s="637"/>
      <c r="AH136" s="637"/>
      <c r="AI136" s="637"/>
      <c r="AJ136" s="637"/>
      <c r="AK136" s="637"/>
      <c r="AL136" s="637"/>
      <c r="AM136" s="637"/>
      <c r="AN136" s="637"/>
      <c r="AO136" s="637"/>
      <c r="AP136" s="533"/>
      <c r="AQ136" s="533"/>
      <c r="AR136" s="533"/>
      <c r="AS136" s="533"/>
      <c r="AT136" s="624"/>
      <c r="AU136" s="618"/>
      <c r="AV136" s="618"/>
      <c r="AW136" s="618"/>
      <c r="AX136" s="618"/>
      <c r="AY136" s="618"/>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52"/>
      <c r="CD136" s="52"/>
      <c r="CE136" s="52"/>
      <c r="CF136" s="52"/>
      <c r="CG136" s="52"/>
      <c r="CH136" s="52"/>
      <c r="CI136" s="52"/>
      <c r="CJ136" s="52"/>
      <c r="CK136" s="52"/>
      <c r="CL136" s="52"/>
      <c r="CM136" s="52"/>
      <c r="CN136" s="52"/>
      <c r="CO136" s="52"/>
      <c r="CP136" s="52"/>
      <c r="CQ136" s="52"/>
      <c r="CR136" s="52"/>
      <c r="CS136" s="52"/>
      <c r="CT136" s="52"/>
      <c r="CU136" s="52"/>
      <c r="CV136" s="52"/>
      <c r="CW136" s="52"/>
      <c r="CX136" s="52"/>
      <c r="CY136" s="52"/>
      <c r="CZ136" s="52"/>
      <c r="DA136" s="52"/>
      <c r="DB136" s="52"/>
      <c r="DC136" s="52"/>
      <c r="DD136" s="52"/>
      <c r="DE136" s="52"/>
      <c r="DF136" s="52"/>
      <c r="DG136" s="52"/>
      <c r="DH136" s="52"/>
      <c r="DI136" s="52"/>
      <c r="DJ136" s="52"/>
      <c r="DK136" s="52"/>
      <c r="DL136" s="52"/>
      <c r="DM136" s="52"/>
      <c r="DN136" s="52"/>
      <c r="DO136" s="52"/>
      <c r="DP136" s="52"/>
      <c r="DQ136" s="52"/>
      <c r="DR136" s="52"/>
      <c r="DS136" s="52"/>
      <c r="DT136" s="52"/>
      <c r="DU136" s="52"/>
      <c r="DV136" s="52"/>
      <c r="DW136" s="52"/>
      <c r="DX136" s="52"/>
      <c r="DY136" s="52"/>
      <c r="DZ136" s="52"/>
      <c r="EA136" s="52"/>
      <c r="EB136" s="52"/>
      <c r="EC136" s="52"/>
      <c r="ED136" s="52"/>
      <c r="EE136" s="52"/>
      <c r="EF136" s="52"/>
      <c r="EG136" s="52"/>
      <c r="EH136" s="52"/>
      <c r="EI136" s="52"/>
      <c r="EJ136" s="52"/>
      <c r="EK136" s="52"/>
      <c r="EL136" s="52"/>
      <c r="EM136" s="52"/>
      <c r="EN136" s="52"/>
      <c r="EO136" s="52"/>
      <c r="EP136" s="52"/>
      <c r="EQ136" s="52"/>
      <c r="ER136" s="52"/>
      <c r="ES136" s="52"/>
      <c r="ET136" s="52"/>
      <c r="EU136" s="52"/>
      <c r="EV136" s="52"/>
      <c r="EW136" s="52"/>
      <c r="EX136" s="52"/>
      <c r="EY136" s="52"/>
      <c r="EZ136" s="52"/>
      <c r="FA136" s="52"/>
      <c r="FB136" s="52"/>
      <c r="FC136" s="52"/>
      <c r="FD136" s="52"/>
      <c r="FE136" s="52"/>
      <c r="FF136" s="52"/>
      <c r="FG136" s="52"/>
      <c r="FH136" s="52"/>
      <c r="FI136" s="52"/>
      <c r="FJ136" s="52"/>
      <c r="FK136" s="52"/>
      <c r="FL136" s="52"/>
      <c r="FM136" s="52"/>
      <c r="FN136" s="52"/>
      <c r="FO136" s="52"/>
      <c r="FP136" s="52"/>
      <c r="FQ136" s="52"/>
      <c r="FR136" s="52"/>
      <c r="FS136" s="52"/>
      <c r="FT136" s="52"/>
      <c r="FU136" s="52"/>
    </row>
    <row r="137" spans="1:177" ht="11.25" customHeight="1">
      <c r="A137" s="35"/>
      <c r="B137" s="643"/>
      <c r="C137" s="644"/>
      <c r="D137" s="645"/>
      <c r="E137" s="646"/>
      <c r="F137" s="647"/>
      <c r="G137" s="648"/>
      <c r="H137" s="649"/>
      <c r="I137" s="650"/>
      <c r="J137" s="110"/>
      <c r="K137" s="13"/>
      <c r="L137" s="13"/>
      <c r="M137" s="13"/>
      <c r="N137" s="13"/>
      <c r="O137" s="13"/>
      <c r="P137" s="13"/>
      <c r="Q137" s="13"/>
      <c r="R137" s="13"/>
      <c r="S137" s="13"/>
      <c r="T137" s="10"/>
      <c r="U137" s="10"/>
      <c r="V137" s="10"/>
      <c r="W137" s="10"/>
      <c r="X137" s="10"/>
      <c r="Y137" s="98"/>
      <c r="Z137" s="98"/>
      <c r="AA137" s="98"/>
      <c r="AB137" s="98"/>
      <c r="AC137" s="98"/>
      <c r="AD137" s="624"/>
      <c r="AE137" s="624"/>
      <c r="AF137" s="624"/>
      <c r="AG137" s="624"/>
      <c r="AH137" s="624"/>
      <c r="AI137" s="624"/>
      <c r="AJ137" s="624"/>
      <c r="AK137" s="624"/>
      <c r="AL137" s="624"/>
      <c r="AM137" s="624"/>
      <c r="AN137" s="624"/>
      <c r="AO137" s="624"/>
      <c r="AP137" s="585"/>
      <c r="AQ137" s="585"/>
      <c r="AR137" s="585"/>
      <c r="AS137" s="585"/>
      <c r="AT137" s="585"/>
      <c r="AU137" s="585"/>
      <c r="AV137" s="585"/>
      <c r="AW137" s="585"/>
      <c r="AX137" s="585"/>
      <c r="AY137" s="585"/>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52"/>
      <c r="CD137" s="52"/>
      <c r="CE137" s="52"/>
      <c r="CF137" s="52"/>
      <c r="CG137" s="52"/>
      <c r="CH137" s="52"/>
      <c r="CI137" s="52"/>
      <c r="CJ137" s="52"/>
      <c r="CK137" s="52"/>
      <c r="CL137" s="52"/>
      <c r="CM137" s="52"/>
      <c r="CN137" s="52"/>
      <c r="CO137" s="52"/>
      <c r="CP137" s="52"/>
      <c r="CQ137" s="52"/>
      <c r="CR137" s="52"/>
      <c r="CS137" s="52"/>
      <c r="CT137" s="52"/>
      <c r="CU137" s="52"/>
      <c r="CV137" s="52"/>
      <c r="CW137" s="52"/>
      <c r="CX137" s="52"/>
      <c r="CY137" s="52"/>
      <c r="CZ137" s="52"/>
      <c r="DA137" s="52"/>
      <c r="DB137" s="52"/>
      <c r="DC137" s="52"/>
      <c r="DD137" s="52"/>
      <c r="DE137" s="52"/>
      <c r="DF137" s="52"/>
      <c r="DG137" s="52"/>
      <c r="DH137" s="52"/>
      <c r="DI137" s="52"/>
      <c r="DJ137" s="52"/>
      <c r="DK137" s="52"/>
      <c r="DL137" s="52"/>
      <c r="DM137" s="52"/>
      <c r="DN137" s="52"/>
      <c r="DO137" s="52"/>
      <c r="DP137" s="52"/>
      <c r="DQ137" s="52"/>
      <c r="DR137" s="52"/>
      <c r="DS137" s="52"/>
      <c r="DT137" s="52"/>
      <c r="DU137" s="52"/>
      <c r="DV137" s="52"/>
      <c r="DW137" s="52"/>
      <c r="DX137" s="52"/>
      <c r="DY137" s="52"/>
      <c r="DZ137" s="52"/>
      <c r="EA137" s="52"/>
      <c r="EB137" s="52"/>
      <c r="EC137" s="52"/>
      <c r="ED137" s="52"/>
      <c r="EE137" s="52"/>
      <c r="EF137" s="52"/>
      <c r="EG137" s="52"/>
      <c r="EH137" s="52"/>
      <c r="EI137" s="52"/>
      <c r="EJ137" s="52"/>
      <c r="EK137" s="52"/>
      <c r="EL137" s="52"/>
      <c r="EM137" s="52"/>
      <c r="EN137" s="52"/>
      <c r="EO137" s="52"/>
      <c r="EP137" s="52"/>
      <c r="EQ137" s="52"/>
      <c r="ER137" s="52"/>
      <c r="ES137" s="52"/>
      <c r="ET137" s="52"/>
      <c r="EU137" s="52"/>
      <c r="EV137" s="52"/>
      <c r="EW137" s="52"/>
      <c r="EX137" s="52"/>
      <c r="EY137" s="52"/>
      <c r="EZ137" s="52"/>
      <c r="FA137" s="52"/>
      <c r="FB137" s="52"/>
      <c r="FC137" s="52"/>
      <c r="FD137" s="52"/>
      <c r="FE137" s="52"/>
      <c r="FF137" s="52"/>
      <c r="FG137" s="52"/>
      <c r="FH137" s="52"/>
      <c r="FI137" s="52"/>
      <c r="FJ137" s="52"/>
      <c r="FK137" s="52"/>
      <c r="FL137" s="52"/>
      <c r="FM137" s="52"/>
      <c r="FN137" s="52"/>
      <c r="FO137" s="52"/>
      <c r="FP137" s="52"/>
      <c r="FQ137" s="52"/>
      <c r="FR137" s="52"/>
      <c r="FS137" s="52"/>
      <c r="FT137" s="52"/>
      <c r="FU137" s="52"/>
    </row>
    <row r="138" spans="1:41" ht="11.25" customHeight="1">
      <c r="A138" s="35"/>
      <c r="B138" s="34"/>
      <c r="C138" s="34"/>
      <c r="D138" s="310"/>
      <c r="E138" s="35"/>
      <c r="F138" s="35"/>
      <c r="G138" s="35"/>
      <c r="H138" s="35"/>
      <c r="I138" s="35"/>
      <c r="J138" s="226"/>
      <c r="K138" s="13"/>
      <c r="L138" s="13"/>
      <c r="M138" s="13"/>
      <c r="N138" s="13"/>
      <c r="O138" s="13"/>
      <c r="P138" s="13"/>
      <c r="Q138" s="13"/>
      <c r="R138" s="13"/>
      <c r="S138" s="13"/>
      <c r="T138" s="10"/>
      <c r="U138" s="10"/>
      <c r="V138" s="10"/>
      <c r="W138" s="10"/>
      <c r="X138" s="10"/>
      <c r="Y138" s="98"/>
      <c r="Z138" s="98"/>
      <c r="AA138" s="98"/>
      <c r="AB138" s="98"/>
      <c r="AC138" s="98"/>
      <c r="AD138" s="10"/>
      <c r="AE138" s="10"/>
      <c r="AF138" s="10"/>
      <c r="AG138" s="10"/>
      <c r="AH138" s="10"/>
      <c r="AI138" s="10"/>
      <c r="AJ138" s="10"/>
      <c r="AK138" s="10"/>
      <c r="AL138" s="10"/>
      <c r="AM138" s="10"/>
      <c r="AN138" s="10"/>
      <c r="AO138" s="10"/>
    </row>
    <row r="139" spans="1:41" ht="11.25" customHeight="1">
      <c r="A139" s="35"/>
      <c r="B139" s="34"/>
      <c r="C139" s="34"/>
      <c r="D139" s="310"/>
      <c r="E139" s="35"/>
      <c r="F139" s="35"/>
      <c r="G139" s="35"/>
      <c r="H139" s="35"/>
      <c r="I139" s="35"/>
      <c r="J139" s="226"/>
      <c r="K139" s="13"/>
      <c r="L139" s="13"/>
      <c r="M139" s="13"/>
      <c r="N139" s="13"/>
      <c r="O139" s="13"/>
      <c r="P139" s="13"/>
      <c r="Q139" s="13"/>
      <c r="R139" s="13"/>
      <c r="S139" s="13"/>
      <c r="T139" s="10"/>
      <c r="U139" s="10"/>
      <c r="V139" s="10"/>
      <c r="W139" s="10"/>
      <c r="X139" s="10"/>
      <c r="Y139" s="98"/>
      <c r="Z139" s="98"/>
      <c r="AA139" s="98"/>
      <c r="AB139" s="98"/>
      <c r="AC139" s="98"/>
      <c r="AD139" s="10"/>
      <c r="AE139" s="10"/>
      <c r="AF139" s="10"/>
      <c r="AG139" s="10"/>
      <c r="AH139" s="10"/>
      <c r="AI139" s="10"/>
      <c r="AJ139" s="10"/>
      <c r="AK139" s="10"/>
      <c r="AL139" s="10"/>
      <c r="AM139" s="10"/>
      <c r="AN139" s="10"/>
      <c r="AO139" s="10"/>
    </row>
    <row r="140" spans="1:41" ht="11.25" customHeight="1">
      <c r="A140" s="35"/>
      <c r="B140" s="34"/>
      <c r="C140" s="34"/>
      <c r="D140" s="310"/>
      <c r="E140" s="35"/>
      <c r="F140" s="35"/>
      <c r="G140" s="35"/>
      <c r="H140" s="35"/>
      <c r="I140" s="35"/>
      <c r="J140" s="226"/>
      <c r="K140" s="13"/>
      <c r="L140" s="13"/>
      <c r="M140" s="13"/>
      <c r="N140" s="13"/>
      <c r="O140" s="13"/>
      <c r="P140" s="13"/>
      <c r="Q140" s="13"/>
      <c r="R140" s="13"/>
      <c r="S140" s="13"/>
      <c r="T140" s="10"/>
      <c r="U140" s="13"/>
      <c r="V140" s="13"/>
      <c r="W140" s="13"/>
      <c r="X140" s="13"/>
      <c r="Y140" s="97"/>
      <c r="Z140" s="97"/>
      <c r="AA140" s="97"/>
      <c r="AB140" s="98"/>
      <c r="AC140" s="98"/>
      <c r="AD140" s="10"/>
      <c r="AE140" s="10"/>
      <c r="AF140" s="10"/>
      <c r="AG140" s="10"/>
      <c r="AH140" s="10"/>
      <c r="AI140" s="10"/>
      <c r="AJ140" s="10"/>
      <c r="AK140" s="10"/>
      <c r="AL140" s="10"/>
      <c r="AM140" s="10"/>
      <c r="AN140" s="10"/>
      <c r="AO140" s="10"/>
    </row>
    <row r="141" spans="1:41" ht="11.25" customHeight="1">
      <c r="A141" s="35"/>
      <c r="B141" s="34"/>
      <c r="C141" s="34"/>
      <c r="D141" s="310"/>
      <c r="E141" s="35"/>
      <c r="F141" s="35"/>
      <c r="G141" s="35"/>
      <c r="H141" s="35"/>
      <c r="I141" s="35"/>
      <c r="J141" s="226"/>
      <c r="K141" s="13"/>
      <c r="L141" s="13"/>
      <c r="M141" s="13"/>
      <c r="N141" s="13"/>
      <c r="O141" s="13"/>
      <c r="P141" s="13"/>
      <c r="Q141" s="13"/>
      <c r="R141" s="13"/>
      <c r="S141" s="13"/>
      <c r="T141" s="10"/>
      <c r="U141" s="13"/>
      <c r="V141" s="13"/>
      <c r="W141" s="13"/>
      <c r="X141" s="13"/>
      <c r="Y141" s="97"/>
      <c r="Z141" s="97"/>
      <c r="AA141" s="97"/>
      <c r="AB141" s="98"/>
      <c r="AC141" s="98"/>
      <c r="AD141" s="10"/>
      <c r="AE141" s="10"/>
      <c r="AF141" s="10"/>
      <c r="AG141" s="10"/>
      <c r="AH141" s="10"/>
      <c r="AI141" s="10"/>
      <c r="AJ141" s="10"/>
      <c r="AK141" s="10"/>
      <c r="AL141" s="10"/>
      <c r="AM141" s="10"/>
      <c r="AN141" s="10"/>
      <c r="AO141" s="10"/>
    </row>
    <row r="142" spans="1:41" ht="11.25" customHeight="1">
      <c r="A142" s="35"/>
      <c r="B142" s="34"/>
      <c r="C142" s="34"/>
      <c r="D142" s="310"/>
      <c r="E142" s="35"/>
      <c r="F142" s="35"/>
      <c r="G142" s="35"/>
      <c r="H142" s="35"/>
      <c r="I142" s="35"/>
      <c r="J142" s="226"/>
      <c r="K142" s="13"/>
      <c r="L142" s="13"/>
      <c r="M142" s="13"/>
      <c r="N142" s="13"/>
      <c r="O142" s="13"/>
      <c r="P142" s="13"/>
      <c r="Q142" s="13"/>
      <c r="R142" s="13"/>
      <c r="S142" s="13"/>
      <c r="T142" s="10"/>
      <c r="U142" s="13"/>
      <c r="V142" s="13"/>
      <c r="W142" s="13"/>
      <c r="X142" s="13"/>
      <c r="Y142" s="97"/>
      <c r="Z142" s="97"/>
      <c r="AA142" s="97"/>
      <c r="AB142" s="98"/>
      <c r="AC142" s="98"/>
      <c r="AD142" s="10"/>
      <c r="AE142" s="10"/>
      <c r="AF142" s="10"/>
      <c r="AG142" s="10"/>
      <c r="AH142" s="10"/>
      <c r="AI142" s="10"/>
      <c r="AJ142" s="10"/>
      <c r="AK142" s="10"/>
      <c r="AL142" s="10"/>
      <c r="AM142" s="10"/>
      <c r="AN142" s="10"/>
      <c r="AO142" s="10"/>
    </row>
    <row r="143" spans="1:41" ht="11.25" customHeight="1">
      <c r="A143" s="35"/>
      <c r="B143" s="34"/>
      <c r="C143" s="34"/>
      <c r="D143" s="310"/>
      <c r="E143" s="35"/>
      <c r="F143" s="35"/>
      <c r="G143" s="35"/>
      <c r="H143" s="35"/>
      <c r="I143" s="35"/>
      <c r="J143" s="226"/>
      <c r="K143" s="13"/>
      <c r="L143" s="13"/>
      <c r="M143" s="13"/>
      <c r="N143" s="13"/>
      <c r="O143" s="13"/>
      <c r="P143" s="13"/>
      <c r="Q143" s="13"/>
      <c r="R143" s="13"/>
      <c r="S143" s="13"/>
      <c r="T143" s="10"/>
      <c r="U143" s="10"/>
      <c r="V143" s="10"/>
      <c r="W143" s="10"/>
      <c r="X143" s="10"/>
      <c r="Y143" s="98"/>
      <c r="Z143" s="98"/>
      <c r="AA143" s="98"/>
      <c r="AB143" s="98"/>
      <c r="AC143" s="98"/>
      <c r="AD143" s="10"/>
      <c r="AE143" s="10"/>
      <c r="AF143" s="10"/>
      <c r="AG143" s="10"/>
      <c r="AH143" s="10"/>
      <c r="AI143" s="10"/>
      <c r="AJ143" s="10"/>
      <c r="AK143" s="10"/>
      <c r="AL143" s="10"/>
      <c r="AM143" s="10"/>
      <c r="AN143" s="10"/>
      <c r="AO143" s="10"/>
    </row>
    <row r="144" spans="1:41" ht="11.25" customHeight="1">
      <c r="A144" s="35"/>
      <c r="B144" s="34"/>
      <c r="C144" s="34"/>
      <c r="D144" s="310"/>
      <c r="E144" s="35"/>
      <c r="F144" s="35"/>
      <c r="G144" s="35"/>
      <c r="H144" s="35"/>
      <c r="I144" s="35"/>
      <c r="J144" s="18"/>
      <c r="K144" s="10"/>
      <c r="L144" s="10"/>
      <c r="M144" s="10"/>
      <c r="N144" s="10"/>
      <c r="O144" s="10"/>
      <c r="P144" s="10"/>
      <c r="S144" s="10"/>
      <c r="T144" s="10"/>
      <c r="U144" s="10"/>
      <c r="V144" s="10"/>
      <c r="W144" s="10"/>
      <c r="X144" s="10"/>
      <c r="Y144" s="98"/>
      <c r="Z144" s="98"/>
      <c r="AA144" s="98"/>
      <c r="AB144" s="98"/>
      <c r="AC144" s="98"/>
      <c r="AD144" s="10"/>
      <c r="AE144" s="10"/>
      <c r="AF144" s="10"/>
      <c r="AG144" s="10"/>
      <c r="AH144" s="10"/>
      <c r="AI144" s="10"/>
      <c r="AJ144" s="10"/>
      <c r="AK144" s="10"/>
      <c r="AL144" s="10"/>
      <c r="AM144" s="10"/>
      <c r="AN144" s="10"/>
      <c r="AO144" s="10"/>
    </row>
    <row r="145" spans="1:41" ht="11.25" customHeight="1">
      <c r="A145" s="35"/>
      <c r="B145" s="34"/>
      <c r="C145" s="34"/>
      <c r="D145" s="310"/>
      <c r="E145" s="35"/>
      <c r="F145" s="35"/>
      <c r="G145" s="35"/>
      <c r="H145" s="35"/>
      <c r="I145" s="35"/>
      <c r="J145" s="18"/>
      <c r="K145" s="10"/>
      <c r="L145" s="10"/>
      <c r="M145" s="10"/>
      <c r="N145" s="10"/>
      <c r="O145" s="10"/>
      <c r="P145" s="10"/>
      <c r="S145" s="10"/>
      <c r="T145" s="10"/>
      <c r="U145" s="10"/>
      <c r="V145" s="10"/>
      <c r="W145" s="10"/>
      <c r="X145" s="10"/>
      <c r="Y145" s="98"/>
      <c r="Z145" s="98"/>
      <c r="AA145" s="98"/>
      <c r="AB145" s="98"/>
      <c r="AC145" s="98"/>
      <c r="AD145" s="10"/>
      <c r="AE145" s="10"/>
      <c r="AF145" s="10"/>
      <c r="AG145" s="10"/>
      <c r="AH145" s="10"/>
      <c r="AI145" s="10"/>
      <c r="AJ145" s="10"/>
      <c r="AK145" s="10"/>
      <c r="AL145" s="10"/>
      <c r="AM145" s="10"/>
      <c r="AN145" s="10"/>
      <c r="AO145" s="10"/>
    </row>
    <row r="146" spans="1:41" ht="11.25" customHeight="1">
      <c r="A146" s="35"/>
      <c r="B146" s="34"/>
      <c r="C146" s="34"/>
      <c r="D146" s="310"/>
      <c r="E146" s="35"/>
      <c r="F146" s="35"/>
      <c r="G146" s="35"/>
      <c r="H146" s="35"/>
      <c r="I146" s="35"/>
      <c r="J146" s="18"/>
      <c r="K146" s="10"/>
      <c r="L146" s="10"/>
      <c r="M146" s="10"/>
      <c r="N146" s="10"/>
      <c r="O146" s="10"/>
      <c r="P146" s="10"/>
      <c r="S146" s="10"/>
      <c r="T146" s="10"/>
      <c r="U146" s="10"/>
      <c r="V146" s="10"/>
      <c r="W146" s="10"/>
      <c r="X146" s="10"/>
      <c r="Y146" s="98"/>
      <c r="Z146" s="98"/>
      <c r="AA146" s="98"/>
      <c r="AB146" s="98"/>
      <c r="AC146" s="98"/>
      <c r="AD146" s="10"/>
      <c r="AE146" s="10"/>
      <c r="AF146" s="10"/>
      <c r="AG146" s="10"/>
      <c r="AH146" s="10"/>
      <c r="AI146" s="10"/>
      <c r="AJ146" s="10"/>
      <c r="AK146" s="10"/>
      <c r="AL146" s="10"/>
      <c r="AM146" s="10"/>
      <c r="AN146" s="10"/>
      <c r="AO146" s="10"/>
    </row>
    <row r="147" spans="1:41" ht="11.25" customHeight="1">
      <c r="A147" s="35"/>
      <c r="B147" s="34"/>
      <c r="C147" s="34"/>
      <c r="D147" s="310"/>
      <c r="E147" s="35"/>
      <c r="F147" s="35"/>
      <c r="G147" s="35"/>
      <c r="H147" s="35"/>
      <c r="I147" s="35"/>
      <c r="J147" s="18"/>
      <c r="K147" s="10"/>
      <c r="L147" s="10"/>
      <c r="M147" s="10"/>
      <c r="N147" s="10"/>
      <c r="O147" s="10"/>
      <c r="P147" s="10"/>
      <c r="S147" s="10"/>
      <c r="T147" s="10"/>
      <c r="U147" s="10"/>
      <c r="V147" s="10"/>
      <c r="W147" s="10"/>
      <c r="X147" s="10"/>
      <c r="Y147" s="98"/>
      <c r="Z147" s="98"/>
      <c r="AA147" s="98"/>
      <c r="AB147" s="98"/>
      <c r="AC147" s="98"/>
      <c r="AD147" s="10"/>
      <c r="AE147" s="10"/>
      <c r="AF147" s="10"/>
      <c r="AG147" s="10"/>
      <c r="AH147" s="10"/>
      <c r="AI147" s="10"/>
      <c r="AJ147" s="10"/>
      <c r="AK147" s="10"/>
      <c r="AL147" s="10"/>
      <c r="AM147" s="10"/>
      <c r="AN147" s="10"/>
      <c r="AO147" s="10"/>
    </row>
    <row r="148" spans="1:41" ht="11.25" customHeight="1">
      <c r="A148" s="35"/>
      <c r="B148" s="34"/>
      <c r="C148" s="34"/>
      <c r="D148" s="310"/>
      <c r="E148" s="35"/>
      <c r="F148" s="35"/>
      <c r="G148" s="35"/>
      <c r="H148" s="35"/>
      <c r="I148" s="35"/>
      <c r="J148" s="18"/>
      <c r="K148" s="10"/>
      <c r="L148" s="10"/>
      <c r="M148" s="10"/>
      <c r="N148" s="10"/>
      <c r="O148" s="10"/>
      <c r="P148" s="10"/>
      <c r="S148" s="10"/>
      <c r="T148" s="10"/>
      <c r="U148" s="10"/>
      <c r="V148" s="10"/>
      <c r="W148" s="10"/>
      <c r="X148" s="10"/>
      <c r="Y148" s="98"/>
      <c r="Z148" s="98"/>
      <c r="AA148" s="98"/>
      <c r="AB148" s="98"/>
      <c r="AC148" s="98"/>
      <c r="AD148" s="10"/>
      <c r="AE148" s="10"/>
      <c r="AF148" s="10"/>
      <c r="AG148" s="10"/>
      <c r="AH148" s="10"/>
      <c r="AI148" s="10"/>
      <c r="AJ148" s="10"/>
      <c r="AK148" s="10"/>
      <c r="AL148" s="10"/>
      <c r="AM148" s="10"/>
      <c r="AN148" s="10"/>
      <c r="AO148" s="10"/>
    </row>
    <row r="149" spans="1:41" ht="11.25" customHeight="1">
      <c r="A149" s="35"/>
      <c r="B149" s="34"/>
      <c r="C149" s="34"/>
      <c r="D149" s="310"/>
      <c r="E149" s="35"/>
      <c r="F149" s="35"/>
      <c r="G149" s="35"/>
      <c r="H149" s="35"/>
      <c r="I149" s="35"/>
      <c r="J149" s="18"/>
      <c r="K149" s="10"/>
      <c r="L149" s="10"/>
      <c r="M149" s="10"/>
      <c r="N149" s="10"/>
      <c r="O149" s="10"/>
      <c r="P149" s="10"/>
      <c r="S149" s="10"/>
      <c r="T149" s="10"/>
      <c r="U149" s="10"/>
      <c r="V149" s="10"/>
      <c r="W149" s="10"/>
      <c r="X149" s="10"/>
      <c r="Y149" s="98"/>
      <c r="Z149" s="98"/>
      <c r="AA149" s="98"/>
      <c r="AB149" s="98"/>
      <c r="AC149" s="98"/>
      <c r="AD149" s="10"/>
      <c r="AE149" s="10"/>
      <c r="AF149" s="10"/>
      <c r="AG149" s="10"/>
      <c r="AH149" s="10"/>
      <c r="AI149" s="10"/>
      <c r="AJ149" s="10"/>
      <c r="AK149" s="10"/>
      <c r="AL149" s="10"/>
      <c r="AM149" s="10"/>
      <c r="AN149" s="10"/>
      <c r="AO149" s="10"/>
    </row>
    <row r="150" spans="1:41" ht="11.25" customHeight="1">
      <c r="A150" s="35"/>
      <c r="B150" s="34"/>
      <c r="C150" s="34"/>
      <c r="D150" s="310"/>
      <c r="E150" s="35"/>
      <c r="F150" s="35"/>
      <c r="G150" s="35"/>
      <c r="H150" s="35"/>
      <c r="I150" s="35"/>
      <c r="J150" s="18"/>
      <c r="K150" s="10"/>
      <c r="L150" s="10"/>
      <c r="M150" s="10"/>
      <c r="N150" s="10"/>
      <c r="O150" s="10"/>
      <c r="P150" s="10"/>
      <c r="S150" s="10"/>
      <c r="T150" s="10"/>
      <c r="U150" s="10"/>
      <c r="V150" s="10"/>
      <c r="W150" s="10"/>
      <c r="X150" s="10"/>
      <c r="Y150" s="98"/>
      <c r="Z150" s="98"/>
      <c r="AA150" s="98"/>
      <c r="AB150" s="98"/>
      <c r="AC150" s="98"/>
      <c r="AD150" s="10"/>
      <c r="AE150" s="10"/>
      <c r="AF150" s="10"/>
      <c r="AG150" s="10"/>
      <c r="AH150" s="10"/>
      <c r="AI150" s="10"/>
      <c r="AJ150" s="10"/>
      <c r="AK150" s="10"/>
      <c r="AL150" s="10"/>
      <c r="AM150" s="10"/>
      <c r="AN150" s="10"/>
      <c r="AO150" s="10"/>
    </row>
    <row r="151" spans="1:41" ht="11.25" customHeight="1">
      <c r="A151" s="35"/>
      <c r="B151" s="34"/>
      <c r="C151" s="34"/>
      <c r="D151" s="310"/>
      <c r="E151" s="35"/>
      <c r="F151" s="35"/>
      <c r="G151" s="35"/>
      <c r="H151" s="35"/>
      <c r="I151" s="35"/>
      <c r="J151" s="18"/>
      <c r="K151" s="10"/>
      <c r="L151" s="10"/>
      <c r="M151" s="10"/>
      <c r="N151" s="10"/>
      <c r="O151" s="10"/>
      <c r="P151" s="10"/>
      <c r="S151" s="10"/>
      <c r="T151" s="10"/>
      <c r="U151" s="10"/>
      <c r="V151" s="10"/>
      <c r="W151" s="10"/>
      <c r="X151" s="10"/>
      <c r="Y151" s="98"/>
      <c r="Z151" s="98"/>
      <c r="AA151" s="98"/>
      <c r="AB151" s="98"/>
      <c r="AC151" s="98"/>
      <c r="AD151" s="10"/>
      <c r="AE151" s="10"/>
      <c r="AF151" s="10"/>
      <c r="AG151" s="10"/>
      <c r="AH151" s="10"/>
      <c r="AI151" s="10"/>
      <c r="AJ151" s="10"/>
      <c r="AK151" s="10"/>
      <c r="AL151" s="10"/>
      <c r="AM151" s="10"/>
      <c r="AN151" s="10"/>
      <c r="AO151" s="10"/>
    </row>
    <row r="152" spans="1:41" ht="11.25" customHeight="1">
      <c r="A152" s="35"/>
      <c r="B152" s="34"/>
      <c r="C152" s="34"/>
      <c r="D152" s="310"/>
      <c r="E152" s="35"/>
      <c r="F152" s="35"/>
      <c r="G152" s="35"/>
      <c r="H152" s="35"/>
      <c r="I152" s="35"/>
      <c r="J152" s="18"/>
      <c r="K152" s="10"/>
      <c r="L152" s="10"/>
      <c r="M152" s="10"/>
      <c r="N152" s="10"/>
      <c r="O152" s="10"/>
      <c r="P152" s="10"/>
      <c r="S152" s="10"/>
      <c r="T152" s="10"/>
      <c r="U152" s="10"/>
      <c r="V152" s="10"/>
      <c r="W152" s="10"/>
      <c r="X152" s="10"/>
      <c r="Y152" s="98"/>
      <c r="Z152" s="98"/>
      <c r="AA152" s="98"/>
      <c r="AB152" s="98"/>
      <c r="AC152" s="98"/>
      <c r="AD152" s="10"/>
      <c r="AE152" s="10"/>
      <c r="AF152" s="10"/>
      <c r="AG152" s="10"/>
      <c r="AH152" s="10"/>
      <c r="AI152" s="10"/>
      <c r="AJ152" s="10"/>
      <c r="AK152" s="10"/>
      <c r="AL152" s="10"/>
      <c r="AM152" s="10"/>
      <c r="AN152" s="10"/>
      <c r="AO152" s="10"/>
    </row>
    <row r="153" spans="1:41" ht="11.25" customHeight="1">
      <c r="A153" s="35"/>
      <c r="B153" s="34"/>
      <c r="C153" s="34"/>
      <c r="D153" s="310"/>
      <c r="E153" s="35"/>
      <c r="F153" s="35"/>
      <c r="G153" s="35"/>
      <c r="H153" s="35"/>
      <c r="I153" s="35"/>
      <c r="J153" s="18"/>
      <c r="K153" s="10"/>
      <c r="L153" s="10"/>
      <c r="M153" s="10"/>
      <c r="N153" s="10"/>
      <c r="O153" s="10"/>
      <c r="P153" s="10"/>
      <c r="S153" s="10"/>
      <c r="T153" s="10"/>
      <c r="U153" s="10"/>
      <c r="V153" s="10"/>
      <c r="W153" s="10"/>
      <c r="X153" s="10"/>
      <c r="Y153" s="98"/>
      <c r="Z153" s="98"/>
      <c r="AA153" s="98"/>
      <c r="AB153" s="98"/>
      <c r="AC153" s="98"/>
      <c r="AD153" s="10"/>
      <c r="AE153" s="10"/>
      <c r="AF153" s="10"/>
      <c r="AG153" s="10"/>
      <c r="AH153" s="10"/>
      <c r="AI153" s="10"/>
      <c r="AJ153" s="10"/>
      <c r="AK153" s="10"/>
      <c r="AL153" s="10"/>
      <c r="AM153" s="10"/>
      <c r="AN153" s="10"/>
      <c r="AO153" s="10"/>
    </row>
    <row r="154" spans="1:41" ht="11.25" customHeight="1">
      <c r="A154" s="35"/>
      <c r="B154" s="34"/>
      <c r="C154" s="34"/>
      <c r="D154" s="310"/>
      <c r="E154" s="35"/>
      <c r="F154" s="35"/>
      <c r="G154" s="35"/>
      <c r="H154" s="35"/>
      <c r="I154" s="35"/>
      <c r="J154" s="18"/>
      <c r="K154" s="10"/>
      <c r="L154" s="10"/>
      <c r="M154" s="10"/>
      <c r="N154" s="10"/>
      <c r="O154" s="10"/>
      <c r="P154" s="10"/>
      <c r="S154" s="10"/>
      <c r="T154" s="10"/>
      <c r="AD154" s="10"/>
      <c r="AE154" s="10"/>
      <c r="AF154" s="10"/>
      <c r="AG154" s="10"/>
      <c r="AH154" s="10"/>
      <c r="AI154" s="10"/>
      <c r="AJ154" s="10"/>
      <c r="AK154" s="10"/>
      <c r="AL154" s="10"/>
      <c r="AM154" s="10"/>
      <c r="AN154" s="10"/>
      <c r="AO154" s="10"/>
    </row>
    <row r="155" spans="1:41" ht="11.25" customHeight="1">
      <c r="A155" s="35"/>
      <c r="B155" s="31"/>
      <c r="C155" s="31"/>
      <c r="E155" s="10"/>
      <c r="I155" s="10"/>
      <c r="J155" s="18"/>
      <c r="K155" s="10"/>
      <c r="L155" s="10"/>
      <c r="M155" s="10"/>
      <c r="N155" s="10"/>
      <c r="O155" s="10"/>
      <c r="P155" s="10"/>
      <c r="S155" s="10"/>
      <c r="T155" s="10"/>
      <c r="AD155" s="10"/>
      <c r="AE155" s="10"/>
      <c r="AF155" s="10"/>
      <c r="AG155" s="10"/>
      <c r="AH155" s="10"/>
      <c r="AI155" s="10"/>
      <c r="AJ155" s="10"/>
      <c r="AK155" s="10"/>
      <c r="AL155" s="10"/>
      <c r="AM155" s="10"/>
      <c r="AN155" s="10"/>
      <c r="AO155" s="10"/>
    </row>
    <row r="156" spans="1:41" ht="11.25" customHeight="1">
      <c r="A156" s="35"/>
      <c r="B156" s="31"/>
      <c r="C156" s="31"/>
      <c r="E156" s="10"/>
      <c r="I156" s="10"/>
      <c r="J156" s="18"/>
      <c r="K156" s="10"/>
      <c r="L156" s="10"/>
      <c r="M156" s="10"/>
      <c r="N156" s="10"/>
      <c r="O156" s="10"/>
      <c r="P156" s="10"/>
      <c r="S156" s="10"/>
      <c r="T156" s="10"/>
      <c r="AD156" s="10"/>
      <c r="AE156" s="10"/>
      <c r="AF156" s="10"/>
      <c r="AG156" s="10"/>
      <c r="AH156" s="10"/>
      <c r="AI156" s="10"/>
      <c r="AJ156" s="10"/>
      <c r="AK156" s="10"/>
      <c r="AL156" s="10"/>
      <c r="AM156" s="10"/>
      <c r="AN156" s="10"/>
      <c r="AO156" s="10"/>
    </row>
    <row r="157" spans="1:41" ht="11.25" customHeight="1">
      <c r="A157" s="35"/>
      <c r="B157" s="31"/>
      <c r="C157" s="31"/>
      <c r="E157" s="10"/>
      <c r="I157" s="10"/>
      <c r="J157" s="18"/>
      <c r="K157" s="10"/>
      <c r="L157" s="10"/>
      <c r="M157" s="10"/>
      <c r="N157" s="10"/>
      <c r="O157" s="10"/>
      <c r="P157" s="10"/>
      <c r="S157" s="10"/>
      <c r="T157" s="10"/>
      <c r="AD157" s="10"/>
      <c r="AE157" s="10"/>
      <c r="AF157" s="10"/>
      <c r="AG157" s="10"/>
      <c r="AH157" s="10"/>
      <c r="AI157" s="10"/>
      <c r="AJ157" s="10"/>
      <c r="AK157" s="10"/>
      <c r="AL157" s="10"/>
      <c r="AM157" s="10"/>
      <c r="AN157" s="10"/>
      <c r="AO157" s="10"/>
    </row>
    <row r="158" spans="1:41" ht="11.25" customHeight="1">
      <c r="A158" s="35"/>
      <c r="B158" s="31"/>
      <c r="C158" s="31"/>
      <c r="E158" s="10"/>
      <c r="I158" s="10"/>
      <c r="J158" s="18"/>
      <c r="K158" s="10"/>
      <c r="L158" s="10"/>
      <c r="M158" s="10"/>
      <c r="N158" s="10"/>
      <c r="O158" s="10"/>
      <c r="P158" s="10"/>
      <c r="S158" s="10"/>
      <c r="T158" s="10"/>
      <c r="U158" s="10"/>
      <c r="V158" s="10"/>
      <c r="W158" s="10"/>
      <c r="X158" s="10"/>
      <c r="Y158" s="98"/>
      <c r="Z158" s="98"/>
      <c r="AA158" s="98"/>
      <c r="AB158" s="98"/>
      <c r="AC158" s="98"/>
      <c r="AD158" s="10"/>
      <c r="AE158" s="10"/>
      <c r="AF158" s="10"/>
      <c r="AG158" s="10"/>
      <c r="AH158" s="10"/>
      <c r="AI158" s="10"/>
      <c r="AJ158" s="10"/>
      <c r="AK158" s="10"/>
      <c r="AL158" s="10"/>
      <c r="AM158" s="10"/>
      <c r="AN158" s="10"/>
      <c r="AO158" s="10"/>
    </row>
    <row r="159" spans="1:41" ht="11.25" customHeight="1">
      <c r="A159" s="35"/>
      <c r="B159" s="31"/>
      <c r="C159" s="31"/>
      <c r="E159" s="10"/>
      <c r="I159" s="10"/>
      <c r="J159" s="18"/>
      <c r="K159" s="10"/>
      <c r="L159" s="10"/>
      <c r="M159" s="10"/>
      <c r="N159" s="10"/>
      <c r="O159" s="10"/>
      <c r="P159" s="10"/>
      <c r="S159" s="10"/>
      <c r="T159" s="10"/>
      <c r="U159" s="10"/>
      <c r="V159" s="10"/>
      <c r="W159" s="10"/>
      <c r="X159" s="10"/>
      <c r="Y159" s="98"/>
      <c r="Z159" s="98"/>
      <c r="AA159" s="98"/>
      <c r="AB159" s="98"/>
      <c r="AC159" s="98"/>
      <c r="AD159" s="10"/>
      <c r="AE159" s="10"/>
      <c r="AF159" s="10"/>
      <c r="AG159" s="10"/>
      <c r="AH159" s="10"/>
      <c r="AI159" s="10"/>
      <c r="AJ159" s="10"/>
      <c r="AK159" s="10"/>
      <c r="AL159" s="10"/>
      <c r="AM159" s="10"/>
      <c r="AN159" s="10"/>
      <c r="AO159" s="10"/>
    </row>
    <row r="160" spans="1:41" ht="11.25" customHeight="1">
      <c r="A160" s="35"/>
      <c r="B160" s="31"/>
      <c r="C160" s="31"/>
      <c r="E160" s="10"/>
      <c r="I160" s="10"/>
      <c r="J160" s="18"/>
      <c r="K160" s="10"/>
      <c r="L160" s="10"/>
      <c r="M160" s="10"/>
      <c r="N160" s="10"/>
      <c r="O160" s="10"/>
      <c r="P160" s="10"/>
      <c r="S160" s="10"/>
      <c r="T160" s="10"/>
      <c r="U160" s="10"/>
      <c r="V160" s="10"/>
      <c r="W160" s="10"/>
      <c r="X160" s="10"/>
      <c r="Y160" s="98"/>
      <c r="Z160" s="98"/>
      <c r="AA160" s="98"/>
      <c r="AB160" s="98"/>
      <c r="AC160" s="98"/>
      <c r="AD160" s="10"/>
      <c r="AE160" s="10"/>
      <c r="AF160" s="10"/>
      <c r="AG160" s="10"/>
      <c r="AH160" s="10"/>
      <c r="AI160" s="10"/>
      <c r="AJ160" s="10"/>
      <c r="AK160" s="10"/>
      <c r="AL160" s="10"/>
      <c r="AM160" s="10"/>
      <c r="AN160" s="10"/>
      <c r="AO160" s="10"/>
    </row>
    <row r="161" spans="1:41" ht="11.25" customHeight="1">
      <c r="A161" s="35"/>
      <c r="B161" s="31"/>
      <c r="C161" s="31"/>
      <c r="E161" s="10"/>
      <c r="I161" s="10"/>
      <c r="J161" s="18"/>
      <c r="K161" s="10"/>
      <c r="L161" s="10"/>
      <c r="M161" s="10"/>
      <c r="N161" s="10"/>
      <c r="O161" s="10"/>
      <c r="P161" s="10"/>
      <c r="S161" s="10"/>
      <c r="T161" s="10"/>
      <c r="U161" s="10"/>
      <c r="V161" s="10"/>
      <c r="W161" s="10"/>
      <c r="X161" s="10"/>
      <c r="Y161" s="98"/>
      <c r="Z161" s="98"/>
      <c r="AA161" s="98"/>
      <c r="AB161" s="98"/>
      <c r="AC161" s="98"/>
      <c r="AD161" s="10"/>
      <c r="AE161" s="10"/>
      <c r="AF161" s="10"/>
      <c r="AG161" s="10"/>
      <c r="AH161" s="10"/>
      <c r="AI161" s="10"/>
      <c r="AJ161" s="10"/>
      <c r="AK161" s="10"/>
      <c r="AL161" s="10"/>
      <c r="AM161" s="10"/>
      <c r="AN161" s="10"/>
      <c r="AO161" s="10"/>
    </row>
    <row r="162" spans="1:41" ht="11.25" customHeight="1">
      <c r="A162" s="35"/>
      <c r="B162" s="31"/>
      <c r="C162" s="31"/>
      <c r="E162" s="10"/>
      <c r="I162" s="10"/>
      <c r="J162" s="18"/>
      <c r="K162" s="10"/>
      <c r="L162" s="10"/>
      <c r="M162" s="10"/>
      <c r="N162" s="10"/>
      <c r="O162" s="10"/>
      <c r="P162" s="10"/>
      <c r="S162" s="10"/>
      <c r="T162" s="10"/>
      <c r="U162" s="10"/>
      <c r="V162" s="10"/>
      <c r="W162" s="10"/>
      <c r="X162" s="10"/>
      <c r="Y162" s="98"/>
      <c r="Z162" s="98"/>
      <c r="AA162" s="98"/>
      <c r="AB162" s="98"/>
      <c r="AC162" s="98"/>
      <c r="AD162" s="10"/>
      <c r="AE162" s="10"/>
      <c r="AF162" s="10"/>
      <c r="AG162" s="10"/>
      <c r="AH162" s="10"/>
      <c r="AI162" s="10"/>
      <c r="AJ162" s="10"/>
      <c r="AK162" s="10"/>
      <c r="AL162" s="10"/>
      <c r="AM162" s="10"/>
      <c r="AN162" s="10"/>
      <c r="AO162" s="10"/>
    </row>
    <row r="163" spans="1:41" ht="11.25" customHeight="1">
      <c r="A163" s="35"/>
      <c r="B163" s="31"/>
      <c r="C163" s="31"/>
      <c r="E163" s="10"/>
      <c r="I163" s="10"/>
      <c r="J163" s="18"/>
      <c r="K163" s="10"/>
      <c r="L163" s="10"/>
      <c r="M163" s="10"/>
      <c r="N163" s="10"/>
      <c r="O163" s="10"/>
      <c r="P163" s="10"/>
      <c r="S163" s="10"/>
      <c r="T163" s="10"/>
      <c r="U163" s="10"/>
      <c r="V163" s="10"/>
      <c r="W163" s="10"/>
      <c r="X163" s="10"/>
      <c r="Y163" s="98"/>
      <c r="Z163" s="98"/>
      <c r="AA163" s="98"/>
      <c r="AB163" s="98"/>
      <c r="AC163" s="98"/>
      <c r="AD163" s="10"/>
      <c r="AE163" s="10"/>
      <c r="AF163" s="10"/>
      <c r="AG163" s="10"/>
      <c r="AH163" s="10"/>
      <c r="AI163" s="10"/>
      <c r="AJ163" s="10"/>
      <c r="AK163" s="10"/>
      <c r="AL163" s="10"/>
      <c r="AM163" s="10"/>
      <c r="AN163" s="10"/>
      <c r="AO163" s="10"/>
    </row>
    <row r="164" spans="1:41" ht="11.25" customHeight="1">
      <c r="A164" s="35"/>
      <c r="B164" s="31"/>
      <c r="C164" s="31"/>
      <c r="E164" s="10"/>
      <c r="I164" s="10"/>
      <c r="J164" s="18"/>
      <c r="K164" s="10"/>
      <c r="L164" s="10"/>
      <c r="M164" s="10"/>
      <c r="N164" s="10"/>
      <c r="O164" s="10"/>
      <c r="P164" s="10"/>
      <c r="S164" s="10"/>
      <c r="T164" s="10"/>
      <c r="U164" s="10"/>
      <c r="V164" s="10"/>
      <c r="W164" s="10"/>
      <c r="X164" s="10"/>
      <c r="Y164" s="98"/>
      <c r="Z164" s="98"/>
      <c r="AA164" s="98"/>
      <c r="AB164" s="98"/>
      <c r="AC164" s="98"/>
      <c r="AD164" s="10"/>
      <c r="AE164" s="10"/>
      <c r="AF164" s="10"/>
      <c r="AG164" s="10"/>
      <c r="AH164" s="10"/>
      <c r="AI164" s="10"/>
      <c r="AJ164" s="10"/>
      <c r="AK164" s="10"/>
      <c r="AL164" s="10"/>
      <c r="AM164" s="10"/>
      <c r="AN164" s="10"/>
      <c r="AO164" s="10"/>
    </row>
    <row r="165" spans="1:41" ht="11.25" customHeight="1">
      <c r="A165" s="35"/>
      <c r="B165" s="31"/>
      <c r="C165" s="31"/>
      <c r="E165" s="10"/>
      <c r="I165" s="10"/>
      <c r="J165" s="18"/>
      <c r="K165" s="10"/>
      <c r="L165" s="10"/>
      <c r="M165" s="10"/>
      <c r="N165" s="10"/>
      <c r="O165" s="10"/>
      <c r="P165" s="10"/>
      <c r="S165" s="10"/>
      <c r="T165" s="10"/>
      <c r="U165" s="10"/>
      <c r="V165" s="10"/>
      <c r="W165" s="10"/>
      <c r="X165" s="10"/>
      <c r="Y165" s="98"/>
      <c r="Z165" s="98"/>
      <c r="AA165" s="98"/>
      <c r="AB165" s="98"/>
      <c r="AC165" s="98"/>
      <c r="AD165" s="10"/>
      <c r="AE165" s="10"/>
      <c r="AF165" s="10"/>
      <c r="AG165" s="10"/>
      <c r="AH165" s="10"/>
      <c r="AI165" s="10"/>
      <c r="AJ165" s="10"/>
      <c r="AK165" s="10"/>
      <c r="AL165" s="10"/>
      <c r="AM165" s="10"/>
      <c r="AN165" s="10"/>
      <c r="AO165" s="10"/>
    </row>
    <row r="166" spans="1:41" ht="11.25" customHeight="1">
      <c r="A166" s="35"/>
      <c r="B166" s="31"/>
      <c r="C166" s="31"/>
      <c r="E166" s="10"/>
      <c r="I166" s="10"/>
      <c r="J166" s="18"/>
      <c r="K166" s="10"/>
      <c r="L166" s="10"/>
      <c r="M166" s="10"/>
      <c r="N166" s="10"/>
      <c r="O166" s="10"/>
      <c r="P166" s="10"/>
      <c r="S166" s="10"/>
      <c r="T166" s="10"/>
      <c r="U166" s="10"/>
      <c r="V166" s="10"/>
      <c r="W166" s="10"/>
      <c r="X166" s="10"/>
      <c r="Y166" s="98"/>
      <c r="Z166" s="98"/>
      <c r="AA166" s="98"/>
      <c r="AB166" s="98"/>
      <c r="AC166" s="98"/>
      <c r="AD166" s="10"/>
      <c r="AE166" s="10"/>
      <c r="AF166" s="10"/>
      <c r="AG166" s="10"/>
      <c r="AH166" s="10"/>
      <c r="AI166" s="10"/>
      <c r="AJ166" s="10"/>
      <c r="AK166" s="10"/>
      <c r="AL166" s="10"/>
      <c r="AM166" s="10"/>
      <c r="AN166" s="10"/>
      <c r="AO166" s="10"/>
    </row>
    <row r="167" spans="1:41" ht="11.25" customHeight="1">
      <c r="A167" s="35"/>
      <c r="B167" s="31"/>
      <c r="C167" s="31"/>
      <c r="E167" s="10"/>
      <c r="I167" s="10"/>
      <c r="J167" s="18"/>
      <c r="K167" s="10"/>
      <c r="L167" s="10"/>
      <c r="M167" s="10"/>
      <c r="N167" s="10"/>
      <c r="O167" s="10"/>
      <c r="P167" s="10"/>
      <c r="S167" s="10"/>
      <c r="T167" s="10"/>
      <c r="U167" s="10"/>
      <c r="V167" s="10"/>
      <c r="W167" s="10"/>
      <c r="X167" s="10"/>
      <c r="Y167" s="98"/>
      <c r="Z167" s="98"/>
      <c r="AA167" s="98"/>
      <c r="AB167" s="98"/>
      <c r="AC167" s="98"/>
      <c r="AD167" s="10"/>
      <c r="AE167" s="10"/>
      <c r="AF167" s="10"/>
      <c r="AG167" s="10"/>
      <c r="AH167" s="10"/>
      <c r="AI167" s="10"/>
      <c r="AJ167" s="10"/>
      <c r="AK167" s="10"/>
      <c r="AL167" s="10"/>
      <c r="AM167" s="10"/>
      <c r="AN167" s="10"/>
      <c r="AO167" s="10"/>
    </row>
    <row r="168" spans="1:41" ht="11.25" customHeight="1">
      <c r="A168" s="35"/>
      <c r="B168" s="31"/>
      <c r="C168" s="31"/>
      <c r="E168" s="10"/>
      <c r="I168" s="10"/>
      <c r="J168" s="18"/>
      <c r="K168" s="10"/>
      <c r="L168" s="10"/>
      <c r="M168" s="10"/>
      <c r="N168" s="10"/>
      <c r="O168" s="10"/>
      <c r="P168" s="10"/>
      <c r="S168" s="10"/>
      <c r="T168" s="10"/>
      <c r="U168" s="10"/>
      <c r="V168" s="10"/>
      <c r="W168" s="10"/>
      <c r="X168" s="10"/>
      <c r="Y168" s="98"/>
      <c r="Z168" s="98"/>
      <c r="AA168" s="98"/>
      <c r="AB168" s="98"/>
      <c r="AC168" s="98"/>
      <c r="AD168" s="10"/>
      <c r="AE168" s="10"/>
      <c r="AF168" s="10"/>
      <c r="AG168" s="10"/>
      <c r="AH168" s="10"/>
      <c r="AI168" s="10"/>
      <c r="AJ168" s="10"/>
      <c r="AK168" s="10"/>
      <c r="AL168" s="10"/>
      <c r="AM168" s="10"/>
      <c r="AN168" s="10"/>
      <c r="AO168" s="10"/>
    </row>
    <row r="169" spans="1:41" ht="11.25" customHeight="1">
      <c r="A169" s="35"/>
      <c r="B169" s="31"/>
      <c r="C169" s="31"/>
      <c r="E169" s="10"/>
      <c r="I169" s="10"/>
      <c r="J169" s="18"/>
      <c r="K169" s="10"/>
      <c r="L169" s="10"/>
      <c r="M169" s="10"/>
      <c r="N169" s="10"/>
      <c r="O169" s="10"/>
      <c r="P169" s="10"/>
      <c r="S169" s="10"/>
      <c r="T169" s="10"/>
      <c r="U169" s="10"/>
      <c r="V169" s="10"/>
      <c r="W169" s="10"/>
      <c r="X169" s="10"/>
      <c r="Y169" s="98"/>
      <c r="Z169" s="98"/>
      <c r="AA169" s="98"/>
      <c r="AB169" s="98"/>
      <c r="AC169" s="98"/>
      <c r="AD169" s="10"/>
      <c r="AE169" s="10"/>
      <c r="AF169" s="10"/>
      <c r="AG169" s="10"/>
      <c r="AH169" s="10"/>
      <c r="AI169" s="10"/>
      <c r="AJ169" s="10"/>
      <c r="AK169" s="10"/>
      <c r="AL169" s="10"/>
      <c r="AM169" s="10"/>
      <c r="AN169" s="10"/>
      <c r="AO169" s="10"/>
    </row>
    <row r="170" spans="1:41" ht="11.25" customHeight="1">
      <c r="A170" s="35"/>
      <c r="B170" s="31"/>
      <c r="C170" s="31"/>
      <c r="E170" s="10"/>
      <c r="I170" s="10"/>
      <c r="J170" s="18"/>
      <c r="K170" s="10"/>
      <c r="L170" s="10"/>
      <c r="M170" s="10"/>
      <c r="N170" s="10"/>
      <c r="O170" s="10"/>
      <c r="P170" s="10"/>
      <c r="S170" s="10"/>
      <c r="T170" s="10"/>
      <c r="U170" s="10"/>
      <c r="V170" s="10"/>
      <c r="W170" s="10"/>
      <c r="X170" s="10"/>
      <c r="Y170" s="98"/>
      <c r="Z170" s="98"/>
      <c r="AA170" s="98"/>
      <c r="AB170" s="98"/>
      <c r="AC170" s="98"/>
      <c r="AD170" s="10"/>
      <c r="AE170" s="10"/>
      <c r="AF170" s="10"/>
      <c r="AG170" s="10"/>
      <c r="AH170" s="10"/>
      <c r="AI170" s="10"/>
      <c r="AJ170" s="10"/>
      <c r="AK170" s="10"/>
      <c r="AL170" s="10"/>
      <c r="AM170" s="10"/>
      <c r="AN170" s="10"/>
      <c r="AO170" s="10"/>
    </row>
    <row r="171" spans="1:41" ht="11.25" customHeight="1">
      <c r="A171" s="35"/>
      <c r="B171" s="31"/>
      <c r="C171" s="31"/>
      <c r="E171" s="10"/>
      <c r="I171" s="10"/>
      <c r="J171" s="18"/>
      <c r="K171" s="10"/>
      <c r="L171" s="10"/>
      <c r="M171" s="10"/>
      <c r="N171" s="10"/>
      <c r="O171" s="10"/>
      <c r="P171" s="10"/>
      <c r="S171" s="10"/>
      <c r="T171" s="10"/>
      <c r="U171" s="10"/>
      <c r="V171" s="10"/>
      <c r="W171" s="10"/>
      <c r="X171" s="10"/>
      <c r="Y171" s="98"/>
      <c r="Z171" s="98"/>
      <c r="AA171" s="98"/>
      <c r="AB171" s="98"/>
      <c r="AC171" s="98"/>
      <c r="AD171" s="10"/>
      <c r="AE171" s="10"/>
      <c r="AF171" s="10"/>
      <c r="AG171" s="10"/>
      <c r="AH171" s="10"/>
      <c r="AI171" s="10"/>
      <c r="AJ171" s="10"/>
      <c r="AK171" s="10"/>
      <c r="AL171" s="10"/>
      <c r="AM171" s="10"/>
      <c r="AN171" s="10"/>
      <c r="AO171" s="10"/>
    </row>
    <row r="172" spans="1:41" ht="11.25" customHeight="1">
      <c r="A172" s="35"/>
      <c r="B172" s="31"/>
      <c r="C172" s="31"/>
      <c r="E172" s="10"/>
      <c r="I172" s="10"/>
      <c r="J172" s="18"/>
      <c r="K172" s="10"/>
      <c r="L172" s="10"/>
      <c r="M172" s="10"/>
      <c r="N172" s="10"/>
      <c r="O172" s="10"/>
      <c r="P172" s="10"/>
      <c r="S172" s="10"/>
      <c r="T172" s="10"/>
      <c r="U172" s="10"/>
      <c r="V172" s="10"/>
      <c r="W172" s="10"/>
      <c r="X172" s="10"/>
      <c r="Y172" s="98"/>
      <c r="Z172" s="98"/>
      <c r="AA172" s="98"/>
      <c r="AB172" s="98"/>
      <c r="AC172" s="98"/>
      <c r="AD172" s="10"/>
      <c r="AE172" s="10"/>
      <c r="AF172" s="10"/>
      <c r="AG172" s="10"/>
      <c r="AH172" s="10"/>
      <c r="AI172" s="10"/>
      <c r="AJ172" s="10"/>
      <c r="AK172" s="10"/>
      <c r="AL172" s="10"/>
      <c r="AM172" s="10"/>
      <c r="AN172" s="10"/>
      <c r="AO172" s="10"/>
    </row>
    <row r="173" spans="1:41" ht="11.25" customHeight="1">
      <c r="A173" s="35"/>
      <c r="B173" s="31"/>
      <c r="C173" s="31"/>
      <c r="E173" s="10"/>
      <c r="I173" s="10"/>
      <c r="J173" s="18"/>
      <c r="K173" s="10"/>
      <c r="L173" s="10"/>
      <c r="M173" s="10"/>
      <c r="N173" s="10"/>
      <c r="O173" s="10"/>
      <c r="P173" s="10"/>
      <c r="S173" s="10"/>
      <c r="T173" s="10"/>
      <c r="U173" s="10"/>
      <c r="V173" s="10"/>
      <c r="W173" s="10"/>
      <c r="X173" s="10"/>
      <c r="Y173" s="98"/>
      <c r="Z173" s="98"/>
      <c r="AA173" s="98"/>
      <c r="AB173" s="98"/>
      <c r="AC173" s="98"/>
      <c r="AD173" s="10"/>
      <c r="AE173" s="10"/>
      <c r="AF173" s="10"/>
      <c r="AG173" s="10"/>
      <c r="AH173" s="10"/>
      <c r="AI173" s="10"/>
      <c r="AJ173" s="10"/>
      <c r="AK173" s="10"/>
      <c r="AL173" s="10"/>
      <c r="AM173" s="10"/>
      <c r="AN173" s="10"/>
      <c r="AO173" s="10"/>
    </row>
    <row r="174" spans="1:41" ht="11.25" customHeight="1">
      <c r="A174" s="35"/>
      <c r="B174" s="31"/>
      <c r="C174" s="31"/>
      <c r="E174" s="10"/>
      <c r="I174" s="10"/>
      <c r="J174" s="18"/>
      <c r="K174" s="10"/>
      <c r="L174" s="10"/>
      <c r="M174" s="10"/>
      <c r="N174" s="10"/>
      <c r="O174" s="10"/>
      <c r="P174" s="10"/>
      <c r="S174" s="10"/>
      <c r="T174" s="10"/>
      <c r="U174" s="10"/>
      <c r="V174" s="10"/>
      <c r="W174" s="10"/>
      <c r="X174" s="10"/>
      <c r="Y174" s="98"/>
      <c r="Z174" s="98"/>
      <c r="AA174" s="98"/>
      <c r="AB174" s="98"/>
      <c r="AC174" s="98"/>
      <c r="AD174" s="10"/>
      <c r="AE174" s="10"/>
      <c r="AF174" s="10"/>
      <c r="AG174" s="10"/>
      <c r="AH174" s="10"/>
      <c r="AI174" s="10"/>
      <c r="AJ174" s="10"/>
      <c r="AK174" s="10"/>
      <c r="AL174" s="10"/>
      <c r="AM174" s="10"/>
      <c r="AN174" s="10"/>
      <c r="AO174" s="10"/>
    </row>
    <row r="175" spans="1:41" ht="11.25" customHeight="1">
      <c r="A175" s="35"/>
      <c r="B175" s="31"/>
      <c r="C175" s="31"/>
      <c r="E175" s="10"/>
      <c r="I175" s="10"/>
      <c r="J175" s="18"/>
      <c r="K175" s="10"/>
      <c r="L175" s="10"/>
      <c r="M175" s="10"/>
      <c r="N175" s="10"/>
      <c r="O175" s="10"/>
      <c r="P175" s="10"/>
      <c r="S175" s="10"/>
      <c r="T175" s="10"/>
      <c r="U175" s="10"/>
      <c r="V175" s="10"/>
      <c r="W175" s="10"/>
      <c r="X175" s="10"/>
      <c r="Y175" s="98"/>
      <c r="Z175" s="98"/>
      <c r="AA175" s="98"/>
      <c r="AB175" s="98"/>
      <c r="AC175" s="98"/>
      <c r="AD175" s="10"/>
      <c r="AE175" s="10"/>
      <c r="AF175" s="10"/>
      <c r="AG175" s="10"/>
      <c r="AH175" s="10"/>
      <c r="AI175" s="10"/>
      <c r="AJ175" s="10"/>
      <c r="AK175" s="10"/>
      <c r="AL175" s="10"/>
      <c r="AM175" s="10"/>
      <c r="AN175" s="10"/>
      <c r="AO175" s="10"/>
    </row>
    <row r="176" spans="1:41" ht="11.25" customHeight="1">
      <c r="A176" s="35"/>
      <c r="B176" s="31"/>
      <c r="C176" s="31"/>
      <c r="E176" s="10"/>
      <c r="I176" s="10"/>
      <c r="J176" s="18"/>
      <c r="K176" s="10"/>
      <c r="L176" s="10"/>
      <c r="M176" s="10"/>
      <c r="N176" s="10"/>
      <c r="O176" s="10"/>
      <c r="P176" s="10"/>
      <c r="S176" s="10"/>
      <c r="T176" s="10"/>
      <c r="U176" s="10"/>
      <c r="V176" s="10"/>
      <c r="W176" s="10"/>
      <c r="X176" s="10"/>
      <c r="Y176" s="98"/>
      <c r="Z176" s="98"/>
      <c r="AA176" s="98"/>
      <c r="AB176" s="98"/>
      <c r="AC176" s="98"/>
      <c r="AD176" s="10"/>
      <c r="AE176" s="10"/>
      <c r="AF176" s="10"/>
      <c r="AG176" s="10"/>
      <c r="AH176" s="10"/>
      <c r="AI176" s="10"/>
      <c r="AJ176" s="10"/>
      <c r="AK176" s="10"/>
      <c r="AL176" s="10"/>
      <c r="AM176" s="10"/>
      <c r="AN176" s="10"/>
      <c r="AO176" s="10"/>
    </row>
    <row r="177" spans="1:41" ht="11.25" customHeight="1">
      <c r="A177" s="35"/>
      <c r="B177" s="31"/>
      <c r="C177" s="31"/>
      <c r="E177" s="10"/>
      <c r="I177" s="10"/>
      <c r="J177" s="18"/>
      <c r="K177" s="10"/>
      <c r="L177" s="10"/>
      <c r="M177" s="10"/>
      <c r="N177" s="10"/>
      <c r="O177" s="10"/>
      <c r="P177" s="10"/>
      <c r="S177" s="10"/>
      <c r="T177" s="10"/>
      <c r="U177" s="10"/>
      <c r="V177" s="10"/>
      <c r="W177" s="10"/>
      <c r="X177" s="10"/>
      <c r="Y177" s="98"/>
      <c r="Z177" s="98"/>
      <c r="AA177" s="98"/>
      <c r="AB177" s="98"/>
      <c r="AC177" s="98"/>
      <c r="AD177" s="10"/>
      <c r="AE177" s="10"/>
      <c r="AF177" s="10"/>
      <c r="AG177" s="10"/>
      <c r="AH177" s="10"/>
      <c r="AI177" s="10"/>
      <c r="AJ177" s="10"/>
      <c r="AK177" s="10"/>
      <c r="AL177" s="10"/>
      <c r="AM177" s="10"/>
      <c r="AN177" s="10"/>
      <c r="AO177" s="10"/>
    </row>
    <row r="178" spans="1:41" ht="11.25" customHeight="1">
      <c r="A178" s="35"/>
      <c r="B178" s="31"/>
      <c r="C178" s="31"/>
      <c r="E178" s="10"/>
      <c r="I178" s="10"/>
      <c r="J178" s="18"/>
      <c r="K178" s="10"/>
      <c r="L178" s="10"/>
      <c r="M178" s="10"/>
      <c r="N178" s="10"/>
      <c r="O178" s="10"/>
      <c r="P178" s="10"/>
      <c r="S178" s="10"/>
      <c r="T178" s="10"/>
      <c r="U178" s="10"/>
      <c r="V178" s="10"/>
      <c r="W178" s="10"/>
      <c r="X178" s="10"/>
      <c r="Y178" s="98"/>
      <c r="Z178" s="98"/>
      <c r="AA178" s="98"/>
      <c r="AB178" s="98"/>
      <c r="AC178" s="98"/>
      <c r="AD178" s="10"/>
      <c r="AE178" s="10"/>
      <c r="AF178" s="10"/>
      <c r="AG178" s="10"/>
      <c r="AH178" s="10"/>
      <c r="AI178" s="10"/>
      <c r="AJ178" s="10"/>
      <c r="AK178" s="10"/>
      <c r="AL178" s="10"/>
      <c r="AM178" s="10"/>
      <c r="AN178" s="10"/>
      <c r="AO178" s="10"/>
    </row>
    <row r="179" spans="1:41" ht="11.25" customHeight="1">
      <c r="A179" s="35"/>
      <c r="B179" s="31"/>
      <c r="C179" s="31"/>
      <c r="E179" s="10"/>
      <c r="I179" s="10"/>
      <c r="J179" s="18"/>
      <c r="K179" s="10"/>
      <c r="L179" s="10"/>
      <c r="M179" s="10"/>
      <c r="N179" s="10"/>
      <c r="O179" s="10"/>
      <c r="P179" s="10"/>
      <c r="S179" s="10"/>
      <c r="T179" s="10"/>
      <c r="U179" s="10"/>
      <c r="V179" s="10"/>
      <c r="W179" s="10"/>
      <c r="X179" s="10"/>
      <c r="Y179" s="98"/>
      <c r="Z179" s="98"/>
      <c r="AA179" s="98"/>
      <c r="AB179" s="98"/>
      <c r="AC179" s="98"/>
      <c r="AD179" s="10"/>
      <c r="AE179" s="10"/>
      <c r="AF179" s="10"/>
      <c r="AG179" s="10"/>
      <c r="AH179" s="10"/>
      <c r="AI179" s="10"/>
      <c r="AJ179" s="10"/>
      <c r="AK179" s="10"/>
      <c r="AL179" s="10"/>
      <c r="AM179" s="10"/>
      <c r="AN179" s="10"/>
      <c r="AO179" s="10"/>
    </row>
    <row r="180" spans="1:41" ht="11.25" customHeight="1">
      <c r="A180" s="35"/>
      <c r="B180" s="31"/>
      <c r="C180" s="31"/>
      <c r="E180" s="10"/>
      <c r="I180" s="10"/>
      <c r="J180" s="18"/>
      <c r="K180" s="10"/>
      <c r="L180" s="10"/>
      <c r="M180" s="10"/>
      <c r="N180" s="10"/>
      <c r="O180" s="10"/>
      <c r="P180" s="10"/>
      <c r="S180" s="10"/>
      <c r="T180" s="10"/>
      <c r="U180" s="10"/>
      <c r="V180" s="10"/>
      <c r="W180" s="10"/>
      <c r="X180" s="10"/>
      <c r="Y180" s="98"/>
      <c r="Z180" s="98"/>
      <c r="AA180" s="98"/>
      <c r="AB180" s="98"/>
      <c r="AC180" s="98"/>
      <c r="AD180" s="10"/>
      <c r="AE180" s="10"/>
      <c r="AF180" s="10"/>
      <c r="AG180" s="10"/>
      <c r="AH180" s="10"/>
      <c r="AI180" s="10"/>
      <c r="AJ180" s="10"/>
      <c r="AK180" s="10"/>
      <c r="AL180" s="10"/>
      <c r="AM180" s="10"/>
      <c r="AN180" s="10"/>
      <c r="AO180" s="10"/>
    </row>
    <row r="181" spans="1:41" ht="11.25" customHeight="1">
      <c r="A181" s="35"/>
      <c r="B181" s="31"/>
      <c r="C181" s="31"/>
      <c r="E181" s="10"/>
      <c r="I181" s="10"/>
      <c r="J181" s="18"/>
      <c r="K181" s="10"/>
      <c r="L181" s="10"/>
      <c r="M181" s="10"/>
      <c r="N181" s="10"/>
      <c r="O181" s="10"/>
      <c r="P181" s="10"/>
      <c r="S181" s="10"/>
      <c r="T181" s="10"/>
      <c r="U181" s="10"/>
      <c r="V181" s="10"/>
      <c r="W181" s="10"/>
      <c r="X181" s="10"/>
      <c r="Y181" s="98"/>
      <c r="Z181" s="98"/>
      <c r="AA181" s="98"/>
      <c r="AB181" s="98"/>
      <c r="AC181" s="98"/>
      <c r="AD181" s="10"/>
      <c r="AE181" s="10"/>
      <c r="AF181" s="10"/>
      <c r="AG181" s="10"/>
      <c r="AH181" s="10"/>
      <c r="AI181" s="10"/>
      <c r="AJ181" s="10"/>
      <c r="AK181" s="10"/>
      <c r="AL181" s="10"/>
      <c r="AM181" s="10"/>
      <c r="AN181" s="10"/>
      <c r="AO181" s="10"/>
    </row>
    <row r="182" spans="1:41" ht="11.25" customHeight="1">
      <c r="A182" s="35"/>
      <c r="B182" s="31"/>
      <c r="C182" s="31"/>
      <c r="E182" s="10"/>
      <c r="I182" s="10"/>
      <c r="J182" s="18"/>
      <c r="K182" s="10"/>
      <c r="L182" s="10"/>
      <c r="M182" s="10"/>
      <c r="N182" s="10"/>
      <c r="O182" s="10"/>
      <c r="P182" s="10"/>
      <c r="S182" s="10"/>
      <c r="T182" s="10"/>
      <c r="U182" s="10"/>
      <c r="V182" s="10"/>
      <c r="W182" s="10"/>
      <c r="X182" s="10"/>
      <c r="Y182" s="98"/>
      <c r="Z182" s="98"/>
      <c r="AA182" s="98"/>
      <c r="AB182" s="98"/>
      <c r="AC182" s="98"/>
      <c r="AD182" s="10"/>
      <c r="AE182" s="10"/>
      <c r="AF182" s="10"/>
      <c r="AG182" s="10"/>
      <c r="AH182" s="10"/>
      <c r="AI182" s="10"/>
      <c r="AJ182" s="10"/>
      <c r="AK182" s="10"/>
      <c r="AL182" s="10"/>
      <c r="AM182" s="10"/>
      <c r="AN182" s="10"/>
      <c r="AO182" s="10"/>
    </row>
    <row r="183" spans="1:41" ht="11.25" customHeight="1">
      <c r="A183" s="35"/>
      <c r="B183" s="31"/>
      <c r="C183" s="31"/>
      <c r="E183" s="10"/>
      <c r="I183" s="10"/>
      <c r="J183" s="18"/>
      <c r="K183" s="10"/>
      <c r="L183" s="10"/>
      <c r="M183" s="10"/>
      <c r="N183" s="10"/>
      <c r="O183" s="10"/>
      <c r="P183" s="10"/>
      <c r="S183" s="10"/>
      <c r="T183" s="10"/>
      <c r="U183" s="10"/>
      <c r="V183" s="10"/>
      <c r="W183" s="10"/>
      <c r="X183" s="10"/>
      <c r="Y183" s="98"/>
      <c r="Z183" s="98"/>
      <c r="AA183" s="98"/>
      <c r="AB183" s="98"/>
      <c r="AC183" s="98"/>
      <c r="AD183" s="10"/>
      <c r="AE183" s="10"/>
      <c r="AF183" s="10"/>
      <c r="AG183" s="10"/>
      <c r="AH183" s="10"/>
      <c r="AI183" s="10"/>
      <c r="AJ183" s="10"/>
      <c r="AK183" s="10"/>
      <c r="AL183" s="10"/>
      <c r="AM183" s="10"/>
      <c r="AN183" s="10"/>
      <c r="AO183" s="10"/>
    </row>
    <row r="184" spans="1:41" ht="11.25" customHeight="1">
      <c r="A184" s="35"/>
      <c r="B184" s="31"/>
      <c r="C184" s="31"/>
      <c r="E184" s="10"/>
      <c r="I184" s="10"/>
      <c r="J184" s="18"/>
      <c r="K184" s="10"/>
      <c r="L184" s="10"/>
      <c r="M184" s="10"/>
      <c r="N184" s="10"/>
      <c r="O184" s="10"/>
      <c r="P184" s="10"/>
      <c r="S184" s="10"/>
      <c r="T184" s="10"/>
      <c r="U184" s="10"/>
      <c r="V184" s="10"/>
      <c r="W184" s="10"/>
      <c r="X184" s="10"/>
      <c r="Y184" s="98"/>
      <c r="Z184" s="98"/>
      <c r="AA184" s="98"/>
      <c r="AB184" s="98"/>
      <c r="AC184" s="98"/>
      <c r="AD184" s="10"/>
      <c r="AE184" s="10"/>
      <c r="AF184" s="10"/>
      <c r="AG184" s="10"/>
      <c r="AH184" s="10"/>
      <c r="AI184" s="10"/>
      <c r="AJ184" s="10"/>
      <c r="AK184" s="10"/>
      <c r="AL184" s="10"/>
      <c r="AM184" s="10"/>
      <c r="AN184" s="10"/>
      <c r="AO184" s="10"/>
    </row>
    <row r="185" spans="1:41" ht="11.25" customHeight="1">
      <c r="A185" s="35"/>
      <c r="B185" s="31"/>
      <c r="C185" s="31"/>
      <c r="E185" s="10"/>
      <c r="I185" s="10"/>
      <c r="J185" s="18"/>
      <c r="K185" s="10"/>
      <c r="L185" s="10"/>
      <c r="M185" s="10"/>
      <c r="N185" s="10"/>
      <c r="O185" s="10"/>
      <c r="P185" s="10"/>
      <c r="S185" s="10"/>
      <c r="T185" s="10"/>
      <c r="U185" s="10"/>
      <c r="V185" s="10"/>
      <c r="W185" s="10"/>
      <c r="X185" s="10"/>
      <c r="Y185" s="98"/>
      <c r="Z185" s="98"/>
      <c r="AA185" s="98"/>
      <c r="AB185" s="98"/>
      <c r="AC185" s="98"/>
      <c r="AD185" s="10"/>
      <c r="AE185" s="10"/>
      <c r="AF185" s="10"/>
      <c r="AG185" s="10"/>
      <c r="AH185" s="10"/>
      <c r="AI185" s="10"/>
      <c r="AJ185" s="10"/>
      <c r="AK185" s="10"/>
      <c r="AL185" s="10"/>
      <c r="AM185" s="10"/>
      <c r="AN185" s="10"/>
      <c r="AO185" s="10"/>
    </row>
    <row r="186" spans="1:41" ht="11.25" customHeight="1">
      <c r="A186" s="35"/>
      <c r="B186" s="31"/>
      <c r="C186" s="31"/>
      <c r="E186" s="10"/>
      <c r="I186" s="10"/>
      <c r="J186" s="18"/>
      <c r="K186" s="10"/>
      <c r="L186" s="10"/>
      <c r="M186" s="10"/>
      <c r="N186" s="10"/>
      <c r="O186" s="10"/>
      <c r="P186" s="10"/>
      <c r="S186" s="10"/>
      <c r="T186" s="10"/>
      <c r="U186" s="10"/>
      <c r="V186" s="10"/>
      <c r="W186" s="10"/>
      <c r="X186" s="10"/>
      <c r="Y186" s="98"/>
      <c r="Z186" s="98"/>
      <c r="AA186" s="98"/>
      <c r="AB186" s="98"/>
      <c r="AC186" s="98"/>
      <c r="AD186" s="10"/>
      <c r="AE186" s="10"/>
      <c r="AF186" s="10"/>
      <c r="AG186" s="10"/>
      <c r="AH186" s="10"/>
      <c r="AI186" s="10"/>
      <c r="AJ186" s="10"/>
      <c r="AK186" s="10"/>
      <c r="AL186" s="10"/>
      <c r="AM186" s="10"/>
      <c r="AN186" s="10"/>
      <c r="AO186" s="10"/>
    </row>
    <row r="187" spans="1:41" ht="11.25" customHeight="1">
      <c r="A187" s="35"/>
      <c r="B187" s="31"/>
      <c r="C187" s="31"/>
      <c r="E187" s="10"/>
      <c r="I187" s="10"/>
      <c r="J187" s="18"/>
      <c r="K187" s="10"/>
      <c r="L187" s="10"/>
      <c r="M187" s="10"/>
      <c r="N187" s="10"/>
      <c r="O187" s="10"/>
      <c r="P187" s="10"/>
      <c r="S187" s="10"/>
      <c r="T187" s="10"/>
      <c r="U187" s="10"/>
      <c r="V187" s="10"/>
      <c r="W187" s="10"/>
      <c r="X187" s="10"/>
      <c r="Y187" s="98"/>
      <c r="Z187" s="98"/>
      <c r="AA187" s="98"/>
      <c r="AB187" s="98"/>
      <c r="AC187" s="98"/>
      <c r="AD187" s="10"/>
      <c r="AE187" s="10"/>
      <c r="AF187" s="10"/>
      <c r="AG187" s="10"/>
      <c r="AH187" s="10"/>
      <c r="AI187" s="10"/>
      <c r="AJ187" s="10"/>
      <c r="AK187" s="10"/>
      <c r="AL187" s="10"/>
      <c r="AM187" s="10"/>
      <c r="AN187" s="10"/>
      <c r="AO187" s="10"/>
    </row>
    <row r="188" spans="1:41" ht="11.25" customHeight="1">
      <c r="A188" s="35"/>
      <c r="B188" s="31"/>
      <c r="C188" s="31"/>
      <c r="E188" s="10"/>
      <c r="I188" s="10"/>
      <c r="J188" s="18"/>
      <c r="K188" s="10"/>
      <c r="L188" s="10"/>
      <c r="M188" s="10"/>
      <c r="N188" s="10"/>
      <c r="O188" s="10"/>
      <c r="P188" s="10"/>
      <c r="S188" s="10"/>
      <c r="T188" s="10"/>
      <c r="U188" s="10"/>
      <c r="V188" s="10"/>
      <c r="W188" s="10"/>
      <c r="X188" s="10"/>
      <c r="Y188" s="98"/>
      <c r="Z188" s="98"/>
      <c r="AA188" s="98"/>
      <c r="AB188" s="98"/>
      <c r="AC188" s="98"/>
      <c r="AD188" s="10"/>
      <c r="AE188" s="10"/>
      <c r="AF188" s="10"/>
      <c r="AG188" s="10"/>
      <c r="AH188" s="10"/>
      <c r="AI188" s="10"/>
      <c r="AJ188" s="10"/>
      <c r="AK188" s="10"/>
      <c r="AL188" s="10"/>
      <c r="AM188" s="10"/>
      <c r="AN188" s="10"/>
      <c r="AO188" s="10"/>
    </row>
    <row r="189" spans="1:41" ht="11.25" customHeight="1">
      <c r="A189" s="35"/>
      <c r="B189" s="31"/>
      <c r="C189" s="31"/>
      <c r="E189" s="10"/>
      <c r="I189" s="10"/>
      <c r="J189" s="18"/>
      <c r="K189" s="10"/>
      <c r="L189" s="10"/>
      <c r="M189" s="10"/>
      <c r="N189" s="10"/>
      <c r="O189" s="10"/>
      <c r="P189" s="10"/>
      <c r="S189" s="10"/>
      <c r="T189" s="10"/>
      <c r="U189" s="10"/>
      <c r="V189" s="10"/>
      <c r="W189" s="10"/>
      <c r="X189" s="10"/>
      <c r="Y189" s="98"/>
      <c r="Z189" s="98"/>
      <c r="AA189" s="98"/>
      <c r="AB189" s="98"/>
      <c r="AC189" s="98"/>
      <c r="AD189" s="10"/>
      <c r="AE189" s="10"/>
      <c r="AF189" s="10"/>
      <c r="AG189" s="10"/>
      <c r="AH189" s="10"/>
      <c r="AI189" s="10"/>
      <c r="AJ189" s="10"/>
      <c r="AK189" s="10"/>
      <c r="AL189" s="10"/>
      <c r="AM189" s="10"/>
      <c r="AN189" s="10"/>
      <c r="AO189" s="10"/>
    </row>
    <row r="190" spans="1:41" ht="11.25" customHeight="1">
      <c r="A190" s="35"/>
      <c r="B190" s="31"/>
      <c r="C190" s="31"/>
      <c r="E190" s="10"/>
      <c r="I190" s="10"/>
      <c r="J190" s="18"/>
      <c r="K190" s="10"/>
      <c r="L190" s="10"/>
      <c r="M190" s="10"/>
      <c r="N190" s="10"/>
      <c r="O190" s="10"/>
      <c r="P190" s="10"/>
      <c r="S190" s="10"/>
      <c r="T190" s="10"/>
      <c r="U190" s="10"/>
      <c r="V190" s="10"/>
      <c r="W190" s="10"/>
      <c r="X190" s="10"/>
      <c r="Y190" s="98"/>
      <c r="Z190" s="98"/>
      <c r="AA190" s="98"/>
      <c r="AB190" s="98"/>
      <c r="AC190" s="98"/>
      <c r="AD190" s="10"/>
      <c r="AE190" s="10"/>
      <c r="AF190" s="10"/>
      <c r="AG190" s="10"/>
      <c r="AH190" s="10"/>
      <c r="AI190" s="10"/>
      <c r="AJ190" s="10"/>
      <c r="AK190" s="10"/>
      <c r="AL190" s="10"/>
      <c r="AM190" s="10"/>
      <c r="AN190" s="10"/>
      <c r="AO190" s="10"/>
    </row>
    <row r="191" spans="1:41" ht="11.25" customHeight="1">
      <c r="A191" s="35"/>
      <c r="B191" s="31"/>
      <c r="C191" s="31"/>
      <c r="E191" s="10"/>
      <c r="I191" s="10"/>
      <c r="J191" s="18"/>
      <c r="K191" s="10"/>
      <c r="L191" s="10"/>
      <c r="M191" s="10"/>
      <c r="N191" s="10"/>
      <c r="O191" s="10"/>
      <c r="P191" s="10"/>
      <c r="S191" s="10"/>
      <c r="T191" s="10"/>
      <c r="U191" s="10"/>
      <c r="V191" s="10"/>
      <c r="W191" s="10"/>
      <c r="X191" s="10"/>
      <c r="Y191" s="98"/>
      <c r="Z191" s="98"/>
      <c r="AA191" s="98"/>
      <c r="AB191" s="98"/>
      <c r="AC191" s="98"/>
      <c r="AD191" s="10"/>
      <c r="AE191" s="10"/>
      <c r="AF191" s="10"/>
      <c r="AG191" s="10"/>
      <c r="AH191" s="10"/>
      <c r="AI191" s="10"/>
      <c r="AJ191" s="10"/>
      <c r="AK191" s="10"/>
      <c r="AL191" s="10"/>
      <c r="AM191" s="10"/>
      <c r="AN191" s="10"/>
      <c r="AO191" s="10"/>
    </row>
    <row r="192" spans="1:41" ht="11.25" customHeight="1">
      <c r="A192" s="35"/>
      <c r="B192" s="31"/>
      <c r="C192" s="31"/>
      <c r="E192" s="10"/>
      <c r="I192" s="10"/>
      <c r="J192" s="18"/>
      <c r="K192" s="10"/>
      <c r="L192" s="10"/>
      <c r="M192" s="10"/>
      <c r="N192" s="10"/>
      <c r="O192" s="10"/>
      <c r="P192" s="10"/>
      <c r="S192" s="10"/>
      <c r="T192" s="10"/>
      <c r="U192" s="10"/>
      <c r="V192" s="10"/>
      <c r="W192" s="10"/>
      <c r="X192" s="10"/>
      <c r="Y192" s="98"/>
      <c r="Z192" s="98"/>
      <c r="AA192" s="98"/>
      <c r="AB192" s="98"/>
      <c r="AC192" s="98"/>
      <c r="AD192" s="10"/>
      <c r="AE192" s="10"/>
      <c r="AF192" s="10"/>
      <c r="AG192" s="10"/>
      <c r="AH192" s="10"/>
      <c r="AI192" s="10"/>
      <c r="AJ192" s="10"/>
      <c r="AK192" s="10"/>
      <c r="AL192" s="10"/>
      <c r="AM192" s="10"/>
      <c r="AN192" s="10"/>
      <c r="AO192" s="10"/>
    </row>
    <row r="193" spans="1:41" ht="11.25" customHeight="1">
      <c r="A193" s="35"/>
      <c r="B193" s="31"/>
      <c r="C193" s="31"/>
      <c r="E193" s="10"/>
      <c r="I193" s="10"/>
      <c r="J193" s="18"/>
      <c r="K193" s="10"/>
      <c r="L193" s="10"/>
      <c r="M193" s="10"/>
      <c r="N193" s="10"/>
      <c r="O193" s="10"/>
      <c r="P193" s="10"/>
      <c r="S193" s="10"/>
      <c r="T193" s="10"/>
      <c r="U193" s="10"/>
      <c r="V193" s="10"/>
      <c r="W193" s="10"/>
      <c r="X193" s="10"/>
      <c r="Y193" s="98"/>
      <c r="Z193" s="98"/>
      <c r="AA193" s="98"/>
      <c r="AB193" s="98"/>
      <c r="AC193" s="98"/>
      <c r="AD193" s="10"/>
      <c r="AE193" s="10"/>
      <c r="AF193" s="10"/>
      <c r="AG193" s="10"/>
      <c r="AH193" s="10"/>
      <c r="AI193" s="10"/>
      <c r="AJ193" s="10"/>
      <c r="AK193" s="10"/>
      <c r="AL193" s="10"/>
      <c r="AM193" s="10"/>
      <c r="AN193" s="10"/>
      <c r="AO193" s="10"/>
    </row>
    <row r="194" spans="1:41" ht="11.25" customHeight="1">
      <c r="A194" s="35"/>
      <c r="B194" s="31"/>
      <c r="C194" s="31"/>
      <c r="E194" s="10"/>
      <c r="I194" s="10"/>
      <c r="J194" s="18"/>
      <c r="K194" s="10"/>
      <c r="L194" s="10"/>
      <c r="M194" s="10"/>
      <c r="N194" s="10"/>
      <c r="O194" s="10"/>
      <c r="P194" s="10"/>
      <c r="S194" s="10"/>
      <c r="T194" s="10"/>
      <c r="U194" s="10"/>
      <c r="V194" s="10"/>
      <c r="W194" s="10"/>
      <c r="X194" s="10"/>
      <c r="Y194" s="98"/>
      <c r="Z194" s="98"/>
      <c r="AA194" s="98"/>
      <c r="AB194" s="98"/>
      <c r="AC194" s="98"/>
      <c r="AD194" s="10"/>
      <c r="AE194" s="10"/>
      <c r="AF194" s="10"/>
      <c r="AG194" s="10"/>
      <c r="AH194" s="10"/>
      <c r="AI194" s="10"/>
      <c r="AJ194" s="10"/>
      <c r="AK194" s="10"/>
      <c r="AL194" s="10"/>
      <c r="AM194" s="10"/>
      <c r="AN194" s="10"/>
      <c r="AO194" s="10"/>
    </row>
    <row r="195" spans="1:41" ht="11.25" customHeight="1">
      <c r="A195" s="35"/>
      <c r="B195" s="31"/>
      <c r="C195" s="31"/>
      <c r="E195" s="10"/>
      <c r="I195" s="10"/>
      <c r="J195" s="18"/>
      <c r="K195" s="10"/>
      <c r="L195" s="10"/>
      <c r="M195" s="10"/>
      <c r="N195" s="10"/>
      <c r="O195" s="10"/>
      <c r="P195" s="10"/>
      <c r="S195" s="10"/>
      <c r="T195" s="10"/>
      <c r="U195" s="10"/>
      <c r="V195" s="10"/>
      <c r="W195" s="10"/>
      <c r="X195" s="10"/>
      <c r="Y195" s="98"/>
      <c r="Z195" s="98"/>
      <c r="AA195" s="98"/>
      <c r="AB195" s="98"/>
      <c r="AC195" s="98"/>
      <c r="AD195" s="10"/>
      <c r="AE195" s="10"/>
      <c r="AF195" s="10"/>
      <c r="AG195" s="10"/>
      <c r="AH195" s="10"/>
      <c r="AI195" s="10"/>
      <c r="AJ195" s="10"/>
      <c r="AK195" s="10"/>
      <c r="AL195" s="10"/>
      <c r="AM195" s="10"/>
      <c r="AN195" s="10"/>
      <c r="AO195" s="10"/>
    </row>
    <row r="196" spans="1:41" ht="11.25" customHeight="1">
      <c r="A196" s="35"/>
      <c r="B196" s="31"/>
      <c r="C196" s="31"/>
      <c r="E196" s="10"/>
      <c r="I196" s="10"/>
      <c r="J196" s="18"/>
      <c r="K196" s="10"/>
      <c r="L196" s="10"/>
      <c r="M196" s="10"/>
      <c r="N196" s="10"/>
      <c r="O196" s="10"/>
      <c r="P196" s="10"/>
      <c r="S196" s="10"/>
      <c r="T196" s="10"/>
      <c r="U196" s="10"/>
      <c r="V196" s="10"/>
      <c r="W196" s="10"/>
      <c r="X196" s="10"/>
      <c r="Y196" s="98"/>
      <c r="Z196" s="98"/>
      <c r="AA196" s="98"/>
      <c r="AB196" s="98"/>
      <c r="AC196" s="98"/>
      <c r="AD196" s="10"/>
      <c r="AE196" s="10"/>
      <c r="AF196" s="10"/>
      <c r="AG196" s="10"/>
      <c r="AH196" s="10"/>
      <c r="AI196" s="10"/>
      <c r="AJ196" s="10"/>
      <c r="AK196" s="10"/>
      <c r="AL196" s="10"/>
      <c r="AM196" s="10"/>
      <c r="AN196" s="10"/>
      <c r="AO196" s="10"/>
    </row>
    <row r="197" spans="1:41" ht="11.25" customHeight="1">
      <c r="A197" s="35"/>
      <c r="B197" s="31"/>
      <c r="C197" s="31"/>
      <c r="E197" s="10"/>
      <c r="I197" s="10"/>
      <c r="J197" s="18"/>
      <c r="K197" s="10"/>
      <c r="L197" s="10"/>
      <c r="M197" s="10"/>
      <c r="N197" s="10"/>
      <c r="O197" s="10"/>
      <c r="P197" s="10"/>
      <c r="S197" s="10"/>
      <c r="T197" s="10"/>
      <c r="U197" s="10"/>
      <c r="V197" s="10"/>
      <c r="W197" s="10"/>
      <c r="X197" s="10"/>
      <c r="Y197" s="98"/>
      <c r="Z197" s="98"/>
      <c r="AA197" s="98"/>
      <c r="AB197" s="98"/>
      <c r="AC197" s="98"/>
      <c r="AD197" s="10"/>
      <c r="AE197" s="10"/>
      <c r="AF197" s="10"/>
      <c r="AG197" s="10"/>
      <c r="AH197" s="10"/>
      <c r="AI197" s="10"/>
      <c r="AJ197" s="10"/>
      <c r="AK197" s="10"/>
      <c r="AL197" s="10"/>
      <c r="AM197" s="10"/>
      <c r="AN197" s="10"/>
      <c r="AO197" s="10"/>
    </row>
    <row r="198" spans="1:41" ht="11.25" customHeight="1">
      <c r="A198" s="35"/>
      <c r="B198" s="31"/>
      <c r="C198" s="31"/>
      <c r="E198" s="10"/>
      <c r="I198" s="10"/>
      <c r="J198" s="18"/>
      <c r="K198" s="10"/>
      <c r="L198" s="10"/>
      <c r="M198" s="10"/>
      <c r="N198" s="10"/>
      <c r="O198" s="10"/>
      <c r="P198" s="10"/>
      <c r="S198" s="10"/>
      <c r="T198" s="10"/>
      <c r="U198" s="10"/>
      <c r="V198" s="10"/>
      <c r="W198" s="10"/>
      <c r="X198" s="10"/>
      <c r="Y198" s="98"/>
      <c r="Z198" s="98"/>
      <c r="AA198" s="98"/>
      <c r="AB198" s="98"/>
      <c r="AC198" s="98"/>
      <c r="AD198" s="10"/>
      <c r="AE198" s="10"/>
      <c r="AF198" s="10"/>
      <c r="AG198" s="10"/>
      <c r="AH198" s="10"/>
      <c r="AI198" s="10"/>
      <c r="AJ198" s="10"/>
      <c r="AK198" s="10"/>
      <c r="AL198" s="10"/>
      <c r="AM198" s="10"/>
      <c r="AN198" s="10"/>
      <c r="AO198" s="10"/>
    </row>
    <row r="199" spans="1:41" ht="11.25" customHeight="1">
      <c r="A199" s="35"/>
      <c r="B199" s="31"/>
      <c r="C199" s="31"/>
      <c r="E199" s="10"/>
      <c r="I199" s="10"/>
      <c r="J199" s="18"/>
      <c r="K199" s="10"/>
      <c r="L199" s="10"/>
      <c r="M199" s="10"/>
      <c r="N199" s="10"/>
      <c r="O199" s="10"/>
      <c r="P199" s="10"/>
      <c r="S199" s="10"/>
      <c r="T199" s="10"/>
      <c r="U199" s="10"/>
      <c r="V199" s="10"/>
      <c r="W199" s="10"/>
      <c r="X199" s="10"/>
      <c r="Y199" s="98"/>
      <c r="Z199" s="98"/>
      <c r="AA199" s="98"/>
      <c r="AB199" s="98"/>
      <c r="AC199" s="98"/>
      <c r="AD199" s="10"/>
      <c r="AE199" s="10"/>
      <c r="AF199" s="10"/>
      <c r="AG199" s="10"/>
      <c r="AH199" s="10"/>
      <c r="AI199" s="10"/>
      <c r="AJ199" s="10"/>
      <c r="AK199" s="10"/>
      <c r="AL199" s="10"/>
      <c r="AM199" s="10"/>
      <c r="AN199" s="10"/>
      <c r="AO199" s="10"/>
    </row>
    <row r="200" spans="1:41" ht="11.25" customHeight="1">
      <c r="A200" s="35"/>
      <c r="B200" s="31"/>
      <c r="C200" s="31"/>
      <c r="E200" s="10"/>
      <c r="I200" s="10"/>
      <c r="J200" s="18"/>
      <c r="K200" s="10"/>
      <c r="L200" s="10"/>
      <c r="M200" s="10"/>
      <c r="N200" s="10"/>
      <c r="O200" s="10"/>
      <c r="P200" s="10"/>
      <c r="S200" s="10"/>
      <c r="T200" s="10"/>
      <c r="U200" s="10"/>
      <c r="V200" s="10"/>
      <c r="W200" s="10"/>
      <c r="X200" s="10"/>
      <c r="Y200" s="98"/>
      <c r="Z200" s="98"/>
      <c r="AA200" s="98"/>
      <c r="AB200" s="98"/>
      <c r="AC200" s="98"/>
      <c r="AD200" s="10"/>
      <c r="AE200" s="10"/>
      <c r="AF200" s="10"/>
      <c r="AG200" s="10"/>
      <c r="AH200" s="10"/>
      <c r="AI200" s="10"/>
      <c r="AJ200" s="10"/>
      <c r="AK200" s="10"/>
      <c r="AL200" s="10"/>
      <c r="AM200" s="10"/>
      <c r="AN200" s="10"/>
      <c r="AO200" s="10"/>
    </row>
    <row r="201" spans="1:41" ht="11.25" customHeight="1">
      <c r="A201" s="35"/>
      <c r="B201" s="31"/>
      <c r="C201" s="31"/>
      <c r="E201" s="10"/>
      <c r="I201" s="10"/>
      <c r="J201" s="18"/>
      <c r="K201" s="10"/>
      <c r="L201" s="10"/>
      <c r="M201" s="10"/>
      <c r="N201" s="10"/>
      <c r="O201" s="10"/>
      <c r="P201" s="10"/>
      <c r="S201" s="10"/>
      <c r="T201" s="10"/>
      <c r="U201" s="10"/>
      <c r="V201" s="10"/>
      <c r="W201" s="10"/>
      <c r="X201" s="10"/>
      <c r="Y201" s="98"/>
      <c r="Z201" s="98"/>
      <c r="AA201" s="98"/>
      <c r="AB201" s="98"/>
      <c r="AC201" s="98"/>
      <c r="AD201" s="10"/>
      <c r="AE201" s="10"/>
      <c r="AF201" s="10"/>
      <c r="AG201" s="10"/>
      <c r="AH201" s="10"/>
      <c r="AI201" s="10"/>
      <c r="AJ201" s="10"/>
      <c r="AK201" s="10"/>
      <c r="AL201" s="10"/>
      <c r="AM201" s="10"/>
      <c r="AN201" s="10"/>
      <c r="AO201" s="10"/>
    </row>
    <row r="202" spans="1:41" ht="11.25" customHeight="1">
      <c r="A202" s="35"/>
      <c r="B202" s="31"/>
      <c r="C202" s="31"/>
      <c r="E202" s="10"/>
      <c r="I202" s="10"/>
      <c r="J202" s="18"/>
      <c r="K202" s="10"/>
      <c r="L202" s="10"/>
      <c r="M202" s="10"/>
      <c r="N202" s="10"/>
      <c r="O202" s="10"/>
      <c r="P202" s="10"/>
      <c r="S202" s="10"/>
      <c r="T202" s="10"/>
      <c r="U202" s="10"/>
      <c r="V202" s="10"/>
      <c r="W202" s="10"/>
      <c r="X202" s="10"/>
      <c r="Y202" s="98"/>
      <c r="Z202" s="98"/>
      <c r="AA202" s="98"/>
      <c r="AB202" s="98"/>
      <c r="AC202" s="98"/>
      <c r="AD202" s="10"/>
      <c r="AE202" s="10"/>
      <c r="AF202" s="10"/>
      <c r="AG202" s="10"/>
      <c r="AH202" s="10"/>
      <c r="AI202" s="10"/>
      <c r="AJ202" s="10"/>
      <c r="AK202" s="10"/>
      <c r="AL202" s="10"/>
      <c r="AM202" s="10"/>
      <c r="AN202" s="10"/>
      <c r="AO202" s="10"/>
    </row>
    <row r="203" spans="1:41" ht="11.25" customHeight="1">
      <c r="A203" s="35"/>
      <c r="B203" s="31"/>
      <c r="C203" s="31"/>
      <c r="E203" s="10"/>
      <c r="I203" s="10"/>
      <c r="J203" s="18"/>
      <c r="K203" s="10"/>
      <c r="L203" s="10"/>
      <c r="M203" s="10"/>
      <c r="N203" s="10"/>
      <c r="O203" s="10"/>
      <c r="P203" s="10"/>
      <c r="S203" s="10"/>
      <c r="T203" s="10"/>
      <c r="U203" s="10"/>
      <c r="V203" s="10"/>
      <c r="W203" s="10"/>
      <c r="X203" s="10"/>
      <c r="Y203" s="98"/>
      <c r="Z203" s="98"/>
      <c r="AA203" s="98"/>
      <c r="AB203" s="98"/>
      <c r="AC203" s="98"/>
      <c r="AD203" s="10"/>
      <c r="AE203" s="10"/>
      <c r="AF203" s="10"/>
      <c r="AG203" s="10"/>
      <c r="AH203" s="10"/>
      <c r="AI203" s="10"/>
      <c r="AJ203" s="10"/>
      <c r="AK203" s="10"/>
      <c r="AL203" s="10"/>
      <c r="AM203" s="10"/>
      <c r="AN203" s="10"/>
      <c r="AO203" s="10"/>
    </row>
    <row r="204" spans="1:41" ht="11.25" customHeight="1">
      <c r="A204" s="35"/>
      <c r="B204" s="31"/>
      <c r="C204" s="31"/>
      <c r="E204" s="10"/>
      <c r="I204" s="10"/>
      <c r="J204" s="18"/>
      <c r="K204" s="10"/>
      <c r="L204" s="10"/>
      <c r="M204" s="10"/>
      <c r="N204" s="10"/>
      <c r="O204" s="10"/>
      <c r="P204" s="10"/>
      <c r="S204" s="10"/>
      <c r="T204" s="10"/>
      <c r="U204" s="10"/>
      <c r="V204" s="10"/>
      <c r="W204" s="10"/>
      <c r="X204" s="10"/>
      <c r="Y204" s="98"/>
      <c r="Z204" s="98"/>
      <c r="AA204" s="98"/>
      <c r="AB204" s="98"/>
      <c r="AC204" s="98"/>
      <c r="AD204" s="10"/>
      <c r="AE204" s="10"/>
      <c r="AF204" s="10"/>
      <c r="AG204" s="10"/>
      <c r="AH204" s="10"/>
      <c r="AI204" s="10"/>
      <c r="AJ204" s="10"/>
      <c r="AK204" s="10"/>
      <c r="AL204" s="10"/>
      <c r="AM204" s="10"/>
      <c r="AN204" s="10"/>
      <c r="AO204" s="10"/>
    </row>
    <row r="205" spans="1:41" ht="11.25" customHeight="1">
      <c r="A205" s="35"/>
      <c r="B205" s="31"/>
      <c r="C205" s="31"/>
      <c r="E205" s="10"/>
      <c r="I205" s="10"/>
      <c r="J205" s="18"/>
      <c r="K205" s="10"/>
      <c r="L205" s="10"/>
      <c r="M205" s="10"/>
      <c r="N205" s="10"/>
      <c r="O205" s="10"/>
      <c r="P205" s="10"/>
      <c r="S205" s="10"/>
      <c r="T205" s="10"/>
      <c r="U205" s="10"/>
      <c r="V205" s="10"/>
      <c r="W205" s="10"/>
      <c r="X205" s="10"/>
      <c r="Y205" s="98"/>
      <c r="Z205" s="98"/>
      <c r="AA205" s="98"/>
      <c r="AB205" s="98"/>
      <c r="AC205" s="98"/>
      <c r="AD205" s="10"/>
      <c r="AE205" s="10"/>
      <c r="AF205" s="10"/>
      <c r="AG205" s="10"/>
      <c r="AH205" s="10"/>
      <c r="AI205" s="10"/>
      <c r="AJ205" s="10"/>
      <c r="AK205" s="10"/>
      <c r="AL205" s="10"/>
      <c r="AM205" s="10"/>
      <c r="AN205" s="10"/>
      <c r="AO205" s="10"/>
    </row>
    <row r="206" spans="1:41" ht="11.25" customHeight="1">
      <c r="A206" s="35"/>
      <c r="B206" s="31"/>
      <c r="C206" s="31"/>
      <c r="E206" s="10"/>
      <c r="I206" s="10"/>
      <c r="J206" s="18"/>
      <c r="K206" s="10"/>
      <c r="L206" s="10"/>
      <c r="M206" s="10"/>
      <c r="N206" s="10"/>
      <c r="O206" s="10"/>
      <c r="P206" s="10"/>
      <c r="S206" s="10"/>
      <c r="T206" s="10"/>
      <c r="U206" s="10"/>
      <c r="V206" s="10"/>
      <c r="W206" s="10"/>
      <c r="X206" s="10"/>
      <c r="Y206" s="98"/>
      <c r="Z206" s="98"/>
      <c r="AA206" s="98"/>
      <c r="AB206" s="98"/>
      <c r="AC206" s="98"/>
      <c r="AD206" s="10"/>
      <c r="AE206" s="10"/>
      <c r="AF206" s="10"/>
      <c r="AG206" s="10"/>
      <c r="AH206" s="10"/>
      <c r="AI206" s="10"/>
      <c r="AJ206" s="10"/>
      <c r="AK206" s="10"/>
      <c r="AL206" s="10"/>
      <c r="AM206" s="10"/>
      <c r="AN206" s="10"/>
      <c r="AO206" s="10"/>
    </row>
    <row r="207" spans="1:41" ht="11.25" customHeight="1">
      <c r="A207" s="35"/>
      <c r="B207" s="31"/>
      <c r="C207" s="31"/>
      <c r="E207" s="10"/>
      <c r="I207" s="10"/>
      <c r="J207" s="18"/>
      <c r="K207" s="10"/>
      <c r="L207" s="10"/>
      <c r="M207" s="10"/>
      <c r="N207" s="10"/>
      <c r="O207" s="10"/>
      <c r="P207" s="10"/>
      <c r="S207" s="10"/>
      <c r="T207" s="10"/>
      <c r="U207" s="10"/>
      <c r="V207" s="10"/>
      <c r="W207" s="10"/>
      <c r="X207" s="10"/>
      <c r="Y207" s="98"/>
      <c r="Z207" s="98"/>
      <c r="AA207" s="98"/>
      <c r="AB207" s="98"/>
      <c r="AC207" s="98"/>
      <c r="AD207" s="10"/>
      <c r="AE207" s="10"/>
      <c r="AF207" s="10"/>
      <c r="AG207" s="10"/>
      <c r="AH207" s="10"/>
      <c r="AI207" s="10"/>
      <c r="AJ207" s="10"/>
      <c r="AK207" s="10"/>
      <c r="AL207" s="10"/>
      <c r="AM207" s="10"/>
      <c r="AN207" s="10"/>
      <c r="AO207" s="10"/>
    </row>
    <row r="208" spans="1:41" ht="11.25" customHeight="1">
      <c r="A208" s="35"/>
      <c r="B208" s="31"/>
      <c r="C208" s="31"/>
      <c r="E208" s="10"/>
      <c r="I208" s="10"/>
      <c r="J208" s="18"/>
      <c r="K208" s="10"/>
      <c r="L208" s="10"/>
      <c r="M208" s="10"/>
      <c r="N208" s="10"/>
      <c r="O208" s="10"/>
      <c r="P208" s="10"/>
      <c r="S208" s="10"/>
      <c r="T208" s="10"/>
      <c r="U208" s="10"/>
      <c r="V208" s="10"/>
      <c r="W208" s="10"/>
      <c r="X208" s="10"/>
      <c r="Y208" s="98"/>
      <c r="Z208" s="98"/>
      <c r="AA208" s="98"/>
      <c r="AB208" s="98"/>
      <c r="AC208" s="98"/>
      <c r="AD208" s="10"/>
      <c r="AE208" s="10"/>
      <c r="AF208" s="10"/>
      <c r="AG208" s="10"/>
      <c r="AH208" s="10"/>
      <c r="AI208" s="10"/>
      <c r="AJ208" s="10"/>
      <c r="AK208" s="10"/>
      <c r="AL208" s="10"/>
      <c r="AM208" s="10"/>
      <c r="AN208" s="10"/>
      <c r="AO208" s="10"/>
    </row>
    <row r="209" spans="1:41" ht="11.25" customHeight="1">
      <c r="A209" s="35"/>
      <c r="B209" s="31"/>
      <c r="C209" s="31"/>
      <c r="E209" s="10"/>
      <c r="I209" s="10"/>
      <c r="J209" s="18"/>
      <c r="K209" s="10"/>
      <c r="L209" s="10"/>
      <c r="M209" s="10"/>
      <c r="N209" s="10"/>
      <c r="O209" s="10"/>
      <c r="P209" s="10"/>
      <c r="S209" s="10"/>
      <c r="T209" s="10"/>
      <c r="U209" s="10"/>
      <c r="V209" s="10"/>
      <c r="W209" s="10"/>
      <c r="X209" s="10"/>
      <c r="Y209" s="98"/>
      <c r="Z209" s="98"/>
      <c r="AA209" s="98"/>
      <c r="AB209" s="98"/>
      <c r="AC209" s="98"/>
      <c r="AD209" s="10"/>
      <c r="AE209" s="10"/>
      <c r="AF209" s="10"/>
      <c r="AG209" s="10"/>
      <c r="AH209" s="10"/>
      <c r="AI209" s="10"/>
      <c r="AJ209" s="10"/>
      <c r="AK209" s="10"/>
      <c r="AL209" s="10"/>
      <c r="AM209" s="10"/>
      <c r="AN209" s="10"/>
      <c r="AO209" s="10"/>
    </row>
    <row r="210" spans="1:41" ht="11.25" customHeight="1">
      <c r="A210" s="35"/>
      <c r="B210" s="31"/>
      <c r="C210" s="31"/>
      <c r="E210" s="10"/>
      <c r="I210" s="10"/>
      <c r="J210" s="18"/>
      <c r="K210" s="10"/>
      <c r="L210" s="10"/>
      <c r="M210" s="10"/>
      <c r="N210" s="10"/>
      <c r="O210" s="10"/>
      <c r="P210" s="10"/>
      <c r="S210" s="10"/>
      <c r="T210" s="10"/>
      <c r="U210" s="10"/>
      <c r="V210" s="10"/>
      <c r="W210" s="10"/>
      <c r="X210" s="10"/>
      <c r="Y210" s="98"/>
      <c r="Z210" s="98"/>
      <c r="AA210" s="98"/>
      <c r="AB210" s="98"/>
      <c r="AC210" s="98"/>
      <c r="AD210" s="10"/>
      <c r="AE210" s="10"/>
      <c r="AF210" s="10"/>
      <c r="AG210" s="10"/>
      <c r="AH210" s="10"/>
      <c r="AI210" s="10"/>
      <c r="AJ210" s="10"/>
      <c r="AK210" s="10"/>
      <c r="AL210" s="10"/>
      <c r="AM210" s="10"/>
      <c r="AN210" s="10"/>
      <c r="AO210" s="10"/>
    </row>
    <row r="211" spans="1:41" ht="11.25" customHeight="1">
      <c r="A211" s="35"/>
      <c r="B211" s="31"/>
      <c r="C211" s="31"/>
      <c r="E211" s="10"/>
      <c r="I211" s="10"/>
      <c r="J211" s="18"/>
      <c r="K211" s="10"/>
      <c r="L211" s="10"/>
      <c r="M211" s="10"/>
      <c r="N211" s="10"/>
      <c r="O211" s="10"/>
      <c r="P211" s="10"/>
      <c r="S211" s="10"/>
      <c r="T211" s="10"/>
      <c r="U211" s="10"/>
      <c r="V211" s="10"/>
      <c r="W211" s="10"/>
      <c r="X211" s="10"/>
      <c r="Y211" s="98"/>
      <c r="Z211" s="98"/>
      <c r="AA211" s="98"/>
      <c r="AB211" s="98"/>
      <c r="AC211" s="98"/>
      <c r="AD211" s="10"/>
      <c r="AE211" s="10"/>
      <c r="AF211" s="10"/>
      <c r="AG211" s="10"/>
      <c r="AH211" s="10"/>
      <c r="AI211" s="10"/>
      <c r="AJ211" s="10"/>
      <c r="AK211" s="10"/>
      <c r="AL211" s="10"/>
      <c r="AM211" s="10"/>
      <c r="AN211" s="10"/>
      <c r="AO211" s="10"/>
    </row>
    <row r="212" spans="1:41" ht="11.25" customHeight="1">
      <c r="A212" s="35"/>
      <c r="B212" s="31"/>
      <c r="C212" s="31"/>
      <c r="E212" s="10"/>
      <c r="I212" s="10"/>
      <c r="J212" s="18"/>
      <c r="K212" s="10"/>
      <c r="L212" s="10"/>
      <c r="M212" s="10"/>
      <c r="N212" s="10"/>
      <c r="O212" s="10"/>
      <c r="P212" s="10"/>
      <c r="S212" s="10"/>
      <c r="T212" s="10"/>
      <c r="U212" s="10"/>
      <c r="V212" s="10"/>
      <c r="W212" s="10"/>
      <c r="X212" s="10"/>
      <c r="Y212" s="98"/>
      <c r="Z212" s="98"/>
      <c r="AA212" s="98"/>
      <c r="AB212" s="98"/>
      <c r="AC212" s="98"/>
      <c r="AD212" s="10"/>
      <c r="AE212" s="10"/>
      <c r="AF212" s="10"/>
      <c r="AG212" s="10"/>
      <c r="AH212" s="10"/>
      <c r="AI212" s="10"/>
      <c r="AJ212" s="10"/>
      <c r="AK212" s="10"/>
      <c r="AL212" s="10"/>
      <c r="AM212" s="10"/>
      <c r="AN212" s="10"/>
      <c r="AO212" s="10"/>
    </row>
    <row r="213" spans="1:41" ht="11.25" customHeight="1">
      <c r="A213" s="35"/>
      <c r="B213" s="31"/>
      <c r="C213" s="31"/>
      <c r="E213" s="10"/>
      <c r="I213" s="10"/>
      <c r="J213" s="18"/>
      <c r="K213" s="10"/>
      <c r="L213" s="10"/>
      <c r="M213" s="10"/>
      <c r="N213" s="10"/>
      <c r="O213" s="10"/>
      <c r="P213" s="10"/>
      <c r="S213" s="10"/>
      <c r="T213" s="10"/>
      <c r="U213" s="10"/>
      <c r="V213" s="10"/>
      <c r="W213" s="10"/>
      <c r="X213" s="10"/>
      <c r="Y213" s="98"/>
      <c r="Z213" s="98"/>
      <c r="AA213" s="98"/>
      <c r="AB213" s="98"/>
      <c r="AC213" s="98"/>
      <c r="AD213" s="10"/>
      <c r="AE213" s="10"/>
      <c r="AF213" s="10"/>
      <c r="AG213" s="10"/>
      <c r="AH213" s="10"/>
      <c r="AI213" s="10"/>
      <c r="AJ213" s="10"/>
      <c r="AK213" s="10"/>
      <c r="AL213" s="10"/>
      <c r="AM213" s="10"/>
      <c r="AN213" s="10"/>
      <c r="AO213" s="10"/>
    </row>
    <row r="214" spans="1:41" ht="11.25" customHeight="1">
      <c r="A214" s="35"/>
      <c r="B214" s="31"/>
      <c r="C214" s="31"/>
      <c r="E214" s="10"/>
      <c r="I214" s="10"/>
      <c r="J214" s="18"/>
      <c r="K214" s="10"/>
      <c r="L214" s="10"/>
      <c r="M214" s="10"/>
      <c r="N214" s="10"/>
      <c r="O214" s="10"/>
      <c r="P214" s="10"/>
      <c r="S214" s="10"/>
      <c r="T214" s="10"/>
      <c r="U214" s="10"/>
      <c r="V214" s="10"/>
      <c r="W214" s="10"/>
      <c r="X214" s="10"/>
      <c r="Y214" s="98"/>
      <c r="Z214" s="98"/>
      <c r="AA214" s="98"/>
      <c r="AB214" s="98"/>
      <c r="AC214" s="98"/>
      <c r="AD214" s="10"/>
      <c r="AE214" s="10"/>
      <c r="AF214" s="10"/>
      <c r="AG214" s="10"/>
      <c r="AH214" s="10"/>
      <c r="AI214" s="10"/>
      <c r="AJ214" s="10"/>
      <c r="AK214" s="10"/>
      <c r="AL214" s="10"/>
      <c r="AM214" s="10"/>
      <c r="AN214" s="10"/>
      <c r="AO214" s="10"/>
    </row>
    <row r="215" spans="1:41" ht="11.25" customHeight="1">
      <c r="A215" s="35"/>
      <c r="B215" s="31"/>
      <c r="C215" s="31"/>
      <c r="E215" s="10"/>
      <c r="I215" s="10"/>
      <c r="J215" s="18"/>
      <c r="K215" s="10"/>
      <c r="L215" s="10"/>
      <c r="M215" s="10"/>
      <c r="N215" s="10"/>
      <c r="O215" s="10"/>
      <c r="P215" s="10"/>
      <c r="S215" s="10"/>
      <c r="T215" s="10"/>
      <c r="U215" s="10"/>
      <c r="V215" s="10"/>
      <c r="W215" s="10"/>
      <c r="X215" s="10"/>
      <c r="Y215" s="98"/>
      <c r="Z215" s="98"/>
      <c r="AA215" s="98"/>
      <c r="AB215" s="98"/>
      <c r="AC215" s="98"/>
      <c r="AD215" s="10"/>
      <c r="AE215" s="10"/>
      <c r="AF215" s="10"/>
      <c r="AG215" s="10"/>
      <c r="AH215" s="10"/>
      <c r="AI215" s="10"/>
      <c r="AJ215" s="10"/>
      <c r="AK215" s="10"/>
      <c r="AL215" s="10"/>
      <c r="AM215" s="10"/>
      <c r="AN215" s="10"/>
      <c r="AO215" s="10"/>
    </row>
    <row r="216" spans="1:41" ht="11.25" customHeight="1">
      <c r="A216" s="35"/>
      <c r="B216" s="31"/>
      <c r="C216" s="31"/>
      <c r="E216" s="10"/>
      <c r="I216" s="10"/>
      <c r="J216" s="18"/>
      <c r="K216" s="10"/>
      <c r="L216" s="10"/>
      <c r="M216" s="10"/>
      <c r="N216" s="10"/>
      <c r="O216" s="10"/>
      <c r="P216" s="10"/>
      <c r="S216" s="10"/>
      <c r="T216" s="10"/>
      <c r="U216" s="10"/>
      <c r="V216" s="10"/>
      <c r="W216" s="10"/>
      <c r="X216" s="10"/>
      <c r="Y216" s="98"/>
      <c r="Z216" s="98"/>
      <c r="AA216" s="98"/>
      <c r="AB216" s="98"/>
      <c r="AC216" s="98"/>
      <c r="AD216" s="10"/>
      <c r="AE216" s="10"/>
      <c r="AF216" s="10"/>
      <c r="AG216" s="10"/>
      <c r="AH216" s="10"/>
      <c r="AI216" s="10"/>
      <c r="AJ216" s="10"/>
      <c r="AK216" s="10"/>
      <c r="AL216" s="10"/>
      <c r="AM216" s="10"/>
      <c r="AN216" s="10"/>
      <c r="AO216" s="10"/>
    </row>
    <row r="217" spans="1:41" ht="11.25" customHeight="1">
      <c r="A217" s="35"/>
      <c r="B217" s="31"/>
      <c r="C217" s="31"/>
      <c r="E217" s="10"/>
      <c r="I217" s="10"/>
      <c r="J217" s="18"/>
      <c r="K217" s="10"/>
      <c r="L217" s="10"/>
      <c r="M217" s="10"/>
      <c r="N217" s="10"/>
      <c r="O217" s="10"/>
      <c r="P217" s="10"/>
      <c r="S217" s="10"/>
      <c r="T217" s="10"/>
      <c r="U217" s="10"/>
      <c r="V217" s="10"/>
      <c r="W217" s="10"/>
      <c r="X217" s="10"/>
      <c r="Y217" s="98"/>
      <c r="Z217" s="98"/>
      <c r="AA217" s="98"/>
      <c r="AB217" s="98"/>
      <c r="AC217" s="98"/>
      <c r="AD217" s="10"/>
      <c r="AE217" s="10"/>
      <c r="AF217" s="10"/>
      <c r="AG217" s="10"/>
      <c r="AH217" s="10"/>
      <c r="AI217" s="10"/>
      <c r="AJ217" s="10"/>
      <c r="AK217" s="10"/>
      <c r="AL217" s="10"/>
      <c r="AM217" s="10"/>
      <c r="AN217" s="10"/>
      <c r="AO217" s="10"/>
    </row>
    <row r="218" spans="1:41" ht="11.25" customHeight="1">
      <c r="A218" s="35"/>
      <c r="B218" s="31"/>
      <c r="C218" s="31"/>
      <c r="E218" s="10"/>
      <c r="I218" s="10"/>
      <c r="J218" s="18"/>
      <c r="K218" s="10"/>
      <c r="L218" s="10"/>
      <c r="M218" s="10"/>
      <c r="N218" s="10"/>
      <c r="O218" s="10"/>
      <c r="P218" s="10"/>
      <c r="S218" s="10"/>
      <c r="T218" s="10"/>
      <c r="U218" s="10"/>
      <c r="V218" s="10"/>
      <c r="W218" s="10"/>
      <c r="X218" s="10"/>
      <c r="Y218" s="98"/>
      <c r="Z218" s="98"/>
      <c r="AA218" s="98"/>
      <c r="AB218" s="98"/>
      <c r="AC218" s="98"/>
      <c r="AD218" s="10"/>
      <c r="AE218" s="10"/>
      <c r="AF218" s="10"/>
      <c r="AG218" s="10"/>
      <c r="AH218" s="10"/>
      <c r="AI218" s="10"/>
      <c r="AJ218" s="10"/>
      <c r="AK218" s="10"/>
      <c r="AL218" s="10"/>
      <c r="AM218" s="10"/>
      <c r="AN218" s="10"/>
      <c r="AO218" s="10"/>
    </row>
    <row r="219" spans="1:41" ht="11.25" customHeight="1">
      <c r="A219" s="35"/>
      <c r="B219" s="31"/>
      <c r="C219" s="31"/>
      <c r="E219" s="10"/>
      <c r="I219" s="10"/>
      <c r="J219" s="18"/>
      <c r="K219" s="10"/>
      <c r="L219" s="10"/>
      <c r="M219" s="10"/>
      <c r="N219" s="10"/>
      <c r="O219" s="10"/>
      <c r="P219" s="10"/>
      <c r="S219" s="10"/>
      <c r="T219" s="10"/>
      <c r="U219" s="10"/>
      <c r="V219" s="10"/>
      <c r="W219" s="10"/>
      <c r="X219" s="10"/>
      <c r="Y219" s="98"/>
      <c r="Z219" s="98"/>
      <c r="AA219" s="98"/>
      <c r="AB219" s="98"/>
      <c r="AC219" s="98"/>
      <c r="AD219" s="10"/>
      <c r="AE219" s="10"/>
      <c r="AF219" s="10"/>
      <c r="AG219" s="10"/>
      <c r="AH219" s="10"/>
      <c r="AI219" s="10"/>
      <c r="AJ219" s="10"/>
      <c r="AK219" s="10"/>
      <c r="AL219" s="10"/>
      <c r="AM219" s="10"/>
      <c r="AN219" s="10"/>
      <c r="AO219" s="10"/>
    </row>
    <row r="220" spans="1:41" ht="11.25" customHeight="1">
      <c r="A220" s="35"/>
      <c r="B220" s="31"/>
      <c r="C220" s="31"/>
      <c r="E220" s="10"/>
      <c r="I220" s="10"/>
      <c r="J220" s="18"/>
      <c r="K220" s="10"/>
      <c r="L220" s="10"/>
      <c r="M220" s="10"/>
      <c r="N220" s="10"/>
      <c r="O220" s="10"/>
      <c r="P220" s="10"/>
      <c r="S220" s="10"/>
      <c r="T220" s="10"/>
      <c r="U220" s="10"/>
      <c r="V220" s="10"/>
      <c r="W220" s="10"/>
      <c r="X220" s="10"/>
      <c r="Y220" s="98"/>
      <c r="Z220" s="98"/>
      <c r="AA220" s="98"/>
      <c r="AB220" s="98"/>
      <c r="AC220" s="98"/>
      <c r="AD220" s="10"/>
      <c r="AE220" s="10"/>
      <c r="AF220" s="10"/>
      <c r="AG220" s="10"/>
      <c r="AH220" s="10"/>
      <c r="AI220" s="10"/>
      <c r="AJ220" s="10"/>
      <c r="AK220" s="10"/>
      <c r="AL220" s="10"/>
      <c r="AM220" s="10"/>
      <c r="AN220" s="10"/>
      <c r="AO220" s="10"/>
    </row>
    <row r="221" spans="1:41" ht="11.25" customHeight="1">
      <c r="A221" s="35"/>
      <c r="B221" s="31"/>
      <c r="C221" s="31"/>
      <c r="E221" s="10"/>
      <c r="I221" s="10"/>
      <c r="J221" s="18"/>
      <c r="K221" s="10"/>
      <c r="L221" s="10"/>
      <c r="M221" s="10"/>
      <c r="N221" s="10"/>
      <c r="O221" s="10"/>
      <c r="P221" s="10"/>
      <c r="S221" s="10"/>
      <c r="T221" s="10"/>
      <c r="U221" s="10"/>
      <c r="V221" s="10"/>
      <c r="W221" s="10"/>
      <c r="X221" s="10"/>
      <c r="Y221" s="98"/>
      <c r="Z221" s="98"/>
      <c r="AA221" s="98"/>
      <c r="AB221" s="98"/>
      <c r="AC221" s="98"/>
      <c r="AD221" s="10"/>
      <c r="AE221" s="10"/>
      <c r="AF221" s="10"/>
      <c r="AG221" s="10"/>
      <c r="AH221" s="10"/>
      <c r="AI221" s="10"/>
      <c r="AJ221" s="10"/>
      <c r="AK221" s="10"/>
      <c r="AL221" s="10"/>
      <c r="AM221" s="10"/>
      <c r="AN221" s="10"/>
      <c r="AO221" s="10"/>
    </row>
    <row r="222" spans="1:41" ht="11.25" customHeight="1">
      <c r="A222" s="35"/>
      <c r="B222" s="31"/>
      <c r="C222" s="31"/>
      <c r="E222" s="10"/>
      <c r="I222" s="10"/>
      <c r="J222" s="18"/>
      <c r="K222" s="10"/>
      <c r="L222" s="10"/>
      <c r="M222" s="10"/>
      <c r="N222" s="10"/>
      <c r="O222" s="10"/>
      <c r="P222" s="10"/>
      <c r="S222" s="10"/>
      <c r="T222" s="10"/>
      <c r="U222" s="10"/>
      <c r="V222" s="10"/>
      <c r="W222" s="10"/>
      <c r="X222" s="10"/>
      <c r="Y222" s="98"/>
      <c r="Z222" s="98"/>
      <c r="AA222" s="98"/>
      <c r="AB222" s="98"/>
      <c r="AC222" s="98"/>
      <c r="AD222" s="10"/>
      <c r="AE222" s="10"/>
      <c r="AF222" s="10"/>
      <c r="AG222" s="10"/>
      <c r="AH222" s="10"/>
      <c r="AI222" s="10"/>
      <c r="AJ222" s="10"/>
      <c r="AK222" s="10"/>
      <c r="AL222" s="10"/>
      <c r="AM222" s="10"/>
      <c r="AN222" s="10"/>
      <c r="AO222" s="10"/>
    </row>
    <row r="223" spans="1:41" ht="11.25" customHeight="1">
      <c r="A223" s="35"/>
      <c r="B223" s="31"/>
      <c r="C223" s="31"/>
      <c r="E223" s="10"/>
      <c r="I223" s="10"/>
      <c r="J223" s="18"/>
      <c r="K223" s="10"/>
      <c r="L223" s="10"/>
      <c r="M223" s="10"/>
      <c r="N223" s="10"/>
      <c r="O223" s="10"/>
      <c r="P223" s="10"/>
      <c r="S223" s="10"/>
      <c r="T223" s="10"/>
      <c r="U223" s="10"/>
      <c r="V223" s="10"/>
      <c r="W223" s="10"/>
      <c r="X223" s="10"/>
      <c r="Y223" s="98"/>
      <c r="Z223" s="98"/>
      <c r="AA223" s="98"/>
      <c r="AB223" s="98"/>
      <c r="AC223" s="98"/>
      <c r="AD223" s="10"/>
      <c r="AE223" s="10"/>
      <c r="AF223" s="10"/>
      <c r="AG223" s="10"/>
      <c r="AH223" s="10"/>
      <c r="AI223" s="10"/>
      <c r="AJ223" s="10"/>
      <c r="AK223" s="10"/>
      <c r="AL223" s="10"/>
      <c r="AM223" s="10"/>
      <c r="AN223" s="10"/>
      <c r="AO223" s="10"/>
    </row>
    <row r="224" spans="1:41" ht="11.25" customHeight="1">
      <c r="A224" s="35"/>
      <c r="B224" s="31"/>
      <c r="C224" s="31"/>
      <c r="E224" s="10"/>
      <c r="I224" s="10"/>
      <c r="J224" s="18"/>
      <c r="K224" s="10"/>
      <c r="L224" s="10"/>
      <c r="M224" s="10"/>
      <c r="N224" s="10"/>
      <c r="O224" s="10"/>
      <c r="P224" s="10"/>
      <c r="S224" s="10"/>
      <c r="T224" s="10"/>
      <c r="U224" s="10"/>
      <c r="V224" s="10"/>
      <c r="W224" s="10"/>
      <c r="X224" s="10"/>
      <c r="Y224" s="98"/>
      <c r="Z224" s="98"/>
      <c r="AA224" s="98"/>
      <c r="AB224" s="98"/>
      <c r="AC224" s="98"/>
      <c r="AD224" s="10"/>
      <c r="AE224" s="10"/>
      <c r="AF224" s="10"/>
      <c r="AG224" s="10"/>
      <c r="AH224" s="10"/>
      <c r="AI224" s="10"/>
      <c r="AJ224" s="10"/>
      <c r="AK224" s="10"/>
      <c r="AL224" s="10"/>
      <c r="AM224" s="10"/>
      <c r="AN224" s="10"/>
      <c r="AO224" s="10"/>
    </row>
    <row r="225" spans="1:41" ht="11.25" customHeight="1">
      <c r="A225" s="35"/>
      <c r="B225" s="31"/>
      <c r="C225" s="31"/>
      <c r="E225" s="10"/>
      <c r="I225" s="10"/>
      <c r="J225" s="18"/>
      <c r="K225" s="10"/>
      <c r="L225" s="10"/>
      <c r="M225" s="10"/>
      <c r="N225" s="10"/>
      <c r="O225" s="10"/>
      <c r="P225" s="10"/>
      <c r="S225" s="10"/>
      <c r="T225" s="10"/>
      <c r="U225" s="10"/>
      <c r="V225" s="10"/>
      <c r="W225" s="10"/>
      <c r="X225" s="10"/>
      <c r="Y225" s="98"/>
      <c r="Z225" s="98"/>
      <c r="AA225" s="98"/>
      <c r="AB225" s="98"/>
      <c r="AC225" s="98"/>
      <c r="AD225" s="10"/>
      <c r="AE225" s="10"/>
      <c r="AF225" s="10"/>
      <c r="AG225" s="10"/>
      <c r="AH225" s="10"/>
      <c r="AI225" s="10"/>
      <c r="AJ225" s="10"/>
      <c r="AK225" s="10"/>
      <c r="AL225" s="10"/>
      <c r="AM225" s="10"/>
      <c r="AN225" s="10"/>
      <c r="AO225" s="10"/>
    </row>
    <row r="226" spans="1:41" ht="11.25" customHeight="1">
      <c r="A226" s="35"/>
      <c r="B226" s="31"/>
      <c r="C226" s="31"/>
      <c r="E226" s="10"/>
      <c r="I226" s="10"/>
      <c r="J226" s="18"/>
      <c r="K226" s="10"/>
      <c r="L226" s="10"/>
      <c r="M226" s="10"/>
      <c r="N226" s="10"/>
      <c r="O226" s="10"/>
      <c r="P226" s="10"/>
      <c r="S226" s="10"/>
      <c r="T226" s="10"/>
      <c r="U226" s="10"/>
      <c r="V226" s="10"/>
      <c r="W226" s="10"/>
      <c r="X226" s="10"/>
      <c r="Y226" s="98"/>
      <c r="Z226" s="98"/>
      <c r="AA226" s="98"/>
      <c r="AB226" s="98"/>
      <c r="AC226" s="98"/>
      <c r="AD226" s="10"/>
      <c r="AE226" s="10"/>
      <c r="AF226" s="10"/>
      <c r="AG226" s="10"/>
      <c r="AH226" s="10"/>
      <c r="AI226" s="10"/>
      <c r="AJ226" s="10"/>
      <c r="AK226" s="10"/>
      <c r="AL226" s="10"/>
      <c r="AM226" s="10"/>
      <c r="AN226" s="10"/>
      <c r="AO226" s="10"/>
    </row>
    <row r="227" spans="1:41" ht="11.25" customHeight="1">
      <c r="A227" s="35"/>
      <c r="B227" s="31"/>
      <c r="C227" s="31"/>
      <c r="E227" s="10"/>
      <c r="I227" s="10"/>
      <c r="J227" s="18"/>
      <c r="K227" s="10"/>
      <c r="L227" s="10"/>
      <c r="M227" s="10"/>
      <c r="N227" s="10"/>
      <c r="O227" s="10"/>
      <c r="P227" s="10"/>
      <c r="S227" s="10"/>
      <c r="T227" s="10"/>
      <c r="U227" s="10"/>
      <c r="V227" s="10"/>
      <c r="W227" s="10"/>
      <c r="X227" s="10"/>
      <c r="Y227" s="98"/>
      <c r="Z227" s="98"/>
      <c r="AA227" s="98"/>
      <c r="AB227" s="98"/>
      <c r="AC227" s="98"/>
      <c r="AD227" s="10"/>
      <c r="AE227" s="10"/>
      <c r="AF227" s="10"/>
      <c r="AG227" s="10"/>
      <c r="AH227" s="10"/>
      <c r="AI227" s="10"/>
      <c r="AJ227" s="10"/>
      <c r="AK227" s="10"/>
      <c r="AL227" s="10"/>
      <c r="AM227" s="10"/>
      <c r="AN227" s="10"/>
      <c r="AO227" s="10"/>
    </row>
    <row r="228" spans="1:41" ht="11.25" customHeight="1">
      <c r="A228" s="35"/>
      <c r="B228" s="31"/>
      <c r="C228" s="31"/>
      <c r="E228" s="10"/>
      <c r="I228" s="10"/>
      <c r="J228" s="18"/>
      <c r="K228" s="10"/>
      <c r="L228" s="10"/>
      <c r="M228" s="10"/>
      <c r="N228" s="10"/>
      <c r="O228" s="10"/>
      <c r="P228" s="10"/>
      <c r="S228" s="10"/>
      <c r="T228" s="10"/>
      <c r="U228" s="10"/>
      <c r="V228" s="10"/>
      <c r="W228" s="10"/>
      <c r="X228" s="10"/>
      <c r="Y228" s="98"/>
      <c r="Z228" s="98"/>
      <c r="AA228" s="98"/>
      <c r="AB228" s="98"/>
      <c r="AC228" s="98"/>
      <c r="AD228" s="10"/>
      <c r="AE228" s="10"/>
      <c r="AF228" s="10"/>
      <c r="AG228" s="10"/>
      <c r="AH228" s="10"/>
      <c r="AI228" s="10"/>
      <c r="AJ228" s="10"/>
      <c r="AK228" s="10"/>
      <c r="AL228" s="10"/>
      <c r="AM228" s="10"/>
      <c r="AN228" s="10"/>
      <c r="AO228" s="10"/>
    </row>
    <row r="229" spans="1:41" ht="11.25" customHeight="1">
      <c r="A229" s="35"/>
      <c r="B229" s="31"/>
      <c r="C229" s="31"/>
      <c r="E229" s="10"/>
      <c r="I229" s="10"/>
      <c r="J229" s="18"/>
      <c r="K229" s="10"/>
      <c r="L229" s="10"/>
      <c r="M229" s="10"/>
      <c r="N229" s="10"/>
      <c r="O229" s="10"/>
      <c r="P229" s="10"/>
      <c r="S229" s="10"/>
      <c r="T229" s="10"/>
      <c r="U229" s="10"/>
      <c r="V229" s="10"/>
      <c r="W229" s="10"/>
      <c r="X229" s="10"/>
      <c r="Y229" s="98"/>
      <c r="Z229" s="98"/>
      <c r="AA229" s="98"/>
      <c r="AB229" s="98"/>
      <c r="AC229" s="98"/>
      <c r="AD229" s="10"/>
      <c r="AE229" s="10"/>
      <c r="AF229" s="10"/>
      <c r="AG229" s="10"/>
      <c r="AH229" s="10"/>
      <c r="AI229" s="10"/>
      <c r="AJ229" s="10"/>
      <c r="AK229" s="10"/>
      <c r="AL229" s="10"/>
      <c r="AM229" s="10"/>
      <c r="AN229" s="10"/>
      <c r="AO229" s="10"/>
    </row>
    <row r="230" spans="1:41" ht="11.25" customHeight="1">
      <c r="A230" s="35"/>
      <c r="B230" s="31"/>
      <c r="C230" s="31"/>
      <c r="E230" s="10"/>
      <c r="I230" s="10"/>
      <c r="J230" s="18"/>
      <c r="K230" s="10"/>
      <c r="L230" s="10"/>
      <c r="M230" s="10"/>
      <c r="N230" s="10"/>
      <c r="O230" s="10"/>
      <c r="P230" s="10"/>
      <c r="S230" s="10"/>
      <c r="T230" s="10"/>
      <c r="U230" s="10"/>
      <c r="V230" s="10"/>
      <c r="W230" s="10"/>
      <c r="X230" s="10"/>
      <c r="Y230" s="98"/>
      <c r="Z230" s="98"/>
      <c r="AA230" s="98"/>
      <c r="AB230" s="98"/>
      <c r="AC230" s="98"/>
      <c r="AD230" s="10"/>
      <c r="AE230" s="10"/>
      <c r="AF230" s="10"/>
      <c r="AG230" s="10"/>
      <c r="AH230" s="10"/>
      <c r="AI230" s="10"/>
      <c r="AJ230" s="10"/>
      <c r="AK230" s="10"/>
      <c r="AL230" s="10"/>
      <c r="AM230" s="10"/>
      <c r="AN230" s="10"/>
      <c r="AO230" s="10"/>
    </row>
    <row r="231" spans="1:41" ht="11.25" customHeight="1">
      <c r="A231" s="35"/>
      <c r="B231" s="31"/>
      <c r="C231" s="31"/>
      <c r="E231" s="10"/>
      <c r="I231" s="10"/>
      <c r="J231" s="18"/>
      <c r="K231" s="10"/>
      <c r="L231" s="10"/>
      <c r="M231" s="10"/>
      <c r="N231" s="10"/>
      <c r="O231" s="10"/>
      <c r="P231" s="10"/>
      <c r="S231" s="10"/>
      <c r="T231" s="10"/>
      <c r="U231" s="10"/>
      <c r="V231" s="10"/>
      <c r="W231" s="10"/>
      <c r="X231" s="10"/>
      <c r="Y231" s="98"/>
      <c r="Z231" s="98"/>
      <c r="AA231" s="98"/>
      <c r="AB231" s="98"/>
      <c r="AC231" s="98"/>
      <c r="AD231" s="10"/>
      <c r="AE231" s="10"/>
      <c r="AF231" s="10"/>
      <c r="AG231" s="10"/>
      <c r="AH231" s="10"/>
      <c r="AI231" s="10"/>
      <c r="AJ231" s="10"/>
      <c r="AK231" s="10"/>
      <c r="AL231" s="10"/>
      <c r="AM231" s="10"/>
      <c r="AN231" s="10"/>
      <c r="AO231" s="10"/>
    </row>
    <row r="232" spans="1:41" ht="11.25" customHeight="1">
      <c r="A232" s="35"/>
      <c r="B232" s="31"/>
      <c r="C232" s="31"/>
      <c r="E232" s="10"/>
      <c r="I232" s="10"/>
      <c r="J232" s="18"/>
      <c r="K232" s="10"/>
      <c r="L232" s="10"/>
      <c r="M232" s="10"/>
      <c r="N232" s="10"/>
      <c r="O232" s="10"/>
      <c r="P232" s="10"/>
      <c r="S232" s="10"/>
      <c r="T232" s="10"/>
      <c r="U232" s="10"/>
      <c r="V232" s="10"/>
      <c r="W232" s="10"/>
      <c r="X232" s="10"/>
      <c r="Y232" s="98"/>
      <c r="Z232" s="98"/>
      <c r="AA232" s="98"/>
      <c r="AB232" s="98"/>
      <c r="AC232" s="98"/>
      <c r="AD232" s="10"/>
      <c r="AE232" s="10"/>
      <c r="AF232" s="10"/>
      <c r="AG232" s="10"/>
      <c r="AH232" s="10"/>
      <c r="AI232" s="10"/>
      <c r="AJ232" s="10"/>
      <c r="AK232" s="10"/>
      <c r="AL232" s="10"/>
      <c r="AM232" s="10"/>
      <c r="AN232" s="10"/>
      <c r="AO232" s="10"/>
    </row>
    <row r="233" spans="1:41" ht="11.25" customHeight="1">
      <c r="A233" s="35"/>
      <c r="B233" s="31"/>
      <c r="C233" s="31"/>
      <c r="E233" s="10"/>
      <c r="I233" s="10"/>
      <c r="J233" s="18"/>
      <c r="K233" s="10"/>
      <c r="L233" s="10"/>
      <c r="M233" s="10"/>
      <c r="N233" s="10"/>
      <c r="O233" s="10"/>
      <c r="P233" s="10"/>
      <c r="S233" s="10"/>
      <c r="T233" s="10"/>
      <c r="U233" s="10"/>
      <c r="V233" s="10"/>
      <c r="W233" s="10"/>
      <c r="X233" s="10"/>
      <c r="Y233" s="98"/>
      <c r="Z233" s="98"/>
      <c r="AA233" s="98"/>
      <c r="AB233" s="98"/>
      <c r="AC233" s="98"/>
      <c r="AD233" s="10"/>
      <c r="AE233" s="10"/>
      <c r="AF233" s="10"/>
      <c r="AG233" s="10"/>
      <c r="AH233" s="10"/>
      <c r="AI233" s="10"/>
      <c r="AJ233" s="10"/>
      <c r="AK233" s="10"/>
      <c r="AL233" s="10"/>
      <c r="AM233" s="10"/>
      <c r="AN233" s="10"/>
      <c r="AO233" s="10"/>
    </row>
    <row r="234" spans="1:41" ht="11.25" customHeight="1">
      <c r="A234" s="35"/>
      <c r="B234" s="31"/>
      <c r="C234" s="31"/>
      <c r="E234" s="10"/>
      <c r="I234" s="10"/>
      <c r="J234" s="18"/>
      <c r="K234" s="10"/>
      <c r="L234" s="10"/>
      <c r="M234" s="10"/>
      <c r="N234" s="10"/>
      <c r="O234" s="10"/>
      <c r="P234" s="10"/>
      <c r="S234" s="10"/>
      <c r="T234" s="10"/>
      <c r="U234" s="10"/>
      <c r="V234" s="10"/>
      <c r="W234" s="10"/>
      <c r="X234" s="10"/>
      <c r="Y234" s="98"/>
      <c r="Z234" s="98"/>
      <c r="AA234" s="98"/>
      <c r="AB234" s="98"/>
      <c r="AC234" s="98"/>
      <c r="AD234" s="10"/>
      <c r="AE234" s="10"/>
      <c r="AF234" s="10"/>
      <c r="AG234" s="10"/>
      <c r="AH234" s="10"/>
      <c r="AI234" s="10"/>
      <c r="AJ234" s="10"/>
      <c r="AK234" s="10"/>
      <c r="AL234" s="10"/>
      <c r="AM234" s="10"/>
      <c r="AN234" s="10"/>
      <c r="AO234" s="10"/>
    </row>
    <row r="235" spans="1:41" ht="11.25" customHeight="1">
      <c r="A235" s="35"/>
      <c r="B235" s="31"/>
      <c r="C235" s="31"/>
      <c r="E235" s="10"/>
      <c r="I235" s="10"/>
      <c r="J235" s="18"/>
      <c r="K235" s="10"/>
      <c r="L235" s="10"/>
      <c r="M235" s="10"/>
      <c r="N235" s="10"/>
      <c r="O235" s="10"/>
      <c r="P235" s="10"/>
      <c r="S235" s="10"/>
      <c r="T235" s="10"/>
      <c r="U235" s="10"/>
      <c r="V235" s="10"/>
      <c r="W235" s="10"/>
      <c r="X235" s="10"/>
      <c r="Y235" s="98"/>
      <c r="Z235" s="98"/>
      <c r="AA235" s="98"/>
      <c r="AB235" s="98"/>
      <c r="AC235" s="98"/>
      <c r="AD235" s="10"/>
      <c r="AE235" s="10"/>
      <c r="AF235" s="10"/>
      <c r="AG235" s="10"/>
      <c r="AH235" s="10"/>
      <c r="AI235" s="10"/>
      <c r="AJ235" s="10"/>
      <c r="AK235" s="10"/>
      <c r="AL235" s="10"/>
      <c r="AM235" s="10"/>
      <c r="AN235" s="10"/>
      <c r="AO235" s="10"/>
    </row>
    <row r="236" spans="1:41" ht="11.25" customHeight="1">
      <c r="A236" s="35"/>
      <c r="B236" s="31"/>
      <c r="C236" s="31"/>
      <c r="E236" s="10"/>
      <c r="I236" s="10"/>
      <c r="J236" s="18"/>
      <c r="K236" s="10"/>
      <c r="L236" s="10"/>
      <c r="M236" s="10"/>
      <c r="N236" s="10"/>
      <c r="O236" s="10"/>
      <c r="P236" s="10"/>
      <c r="S236" s="10"/>
      <c r="T236" s="10"/>
      <c r="U236" s="10"/>
      <c r="V236" s="10"/>
      <c r="W236" s="10"/>
      <c r="X236" s="10"/>
      <c r="Y236" s="98"/>
      <c r="Z236" s="98"/>
      <c r="AA236" s="98"/>
      <c r="AB236" s="98"/>
      <c r="AC236" s="98"/>
      <c r="AD236" s="10"/>
      <c r="AE236" s="10"/>
      <c r="AF236" s="10"/>
      <c r="AG236" s="10"/>
      <c r="AH236" s="10"/>
      <c r="AI236" s="10"/>
      <c r="AJ236" s="10"/>
      <c r="AK236" s="10"/>
      <c r="AL236" s="10"/>
      <c r="AM236" s="10"/>
      <c r="AN236" s="10"/>
      <c r="AO236" s="10"/>
    </row>
    <row r="237" spans="1:41" ht="11.25" customHeight="1">
      <c r="A237" s="35"/>
      <c r="B237" s="31"/>
      <c r="C237" s="31"/>
      <c r="E237" s="10"/>
      <c r="I237" s="10"/>
      <c r="J237" s="18"/>
      <c r="K237" s="10"/>
      <c r="L237" s="10"/>
      <c r="M237" s="10"/>
      <c r="N237" s="10"/>
      <c r="O237" s="10"/>
      <c r="P237" s="10"/>
      <c r="S237" s="10"/>
      <c r="T237" s="10"/>
      <c r="U237" s="10"/>
      <c r="V237" s="10"/>
      <c r="W237" s="10"/>
      <c r="X237" s="10"/>
      <c r="Y237" s="98"/>
      <c r="Z237" s="98"/>
      <c r="AA237" s="98"/>
      <c r="AB237" s="98"/>
      <c r="AC237" s="98"/>
      <c r="AD237" s="10"/>
      <c r="AE237" s="10"/>
      <c r="AF237" s="10"/>
      <c r="AG237" s="10"/>
      <c r="AH237" s="10"/>
      <c r="AI237" s="10"/>
      <c r="AJ237" s="10"/>
      <c r="AK237" s="10"/>
      <c r="AL237" s="10"/>
      <c r="AM237" s="10"/>
      <c r="AN237" s="10"/>
      <c r="AO237" s="10"/>
    </row>
    <row r="238" spans="1:41" ht="11.25" customHeight="1">
      <c r="A238" s="35"/>
      <c r="B238" s="31"/>
      <c r="C238" s="31"/>
      <c r="E238" s="10"/>
      <c r="I238" s="10"/>
      <c r="J238" s="18"/>
      <c r="K238" s="10"/>
      <c r="L238" s="10"/>
      <c r="M238" s="10"/>
      <c r="N238" s="10"/>
      <c r="O238" s="10"/>
      <c r="P238" s="10"/>
      <c r="S238" s="10"/>
      <c r="T238" s="10"/>
      <c r="U238" s="10"/>
      <c r="V238" s="10"/>
      <c r="W238" s="10"/>
      <c r="X238" s="10"/>
      <c r="Y238" s="98"/>
      <c r="Z238" s="98"/>
      <c r="AA238" s="98"/>
      <c r="AB238" s="98"/>
      <c r="AC238" s="98"/>
      <c r="AD238" s="10"/>
      <c r="AE238" s="10"/>
      <c r="AF238" s="10"/>
      <c r="AG238" s="10"/>
      <c r="AH238" s="10"/>
      <c r="AI238" s="10"/>
      <c r="AJ238" s="10"/>
      <c r="AK238" s="10"/>
      <c r="AL238" s="10"/>
      <c r="AM238" s="10"/>
      <c r="AN238" s="10"/>
      <c r="AO238" s="10"/>
    </row>
    <row r="239" spans="1:41" ht="11.25" customHeight="1">
      <c r="A239" s="35"/>
      <c r="B239" s="31"/>
      <c r="C239" s="31"/>
      <c r="E239" s="10"/>
      <c r="I239" s="10"/>
      <c r="J239" s="18"/>
      <c r="K239" s="10"/>
      <c r="L239" s="10"/>
      <c r="M239" s="10"/>
      <c r="N239" s="10"/>
      <c r="O239" s="10"/>
      <c r="P239" s="10"/>
      <c r="S239" s="10"/>
      <c r="T239" s="10"/>
      <c r="U239" s="10"/>
      <c r="V239" s="10"/>
      <c r="W239" s="10"/>
      <c r="X239" s="10"/>
      <c r="Y239" s="98"/>
      <c r="Z239" s="98"/>
      <c r="AA239" s="98"/>
      <c r="AB239" s="98"/>
      <c r="AC239" s="98"/>
      <c r="AD239" s="10"/>
      <c r="AE239" s="10"/>
      <c r="AF239" s="10"/>
      <c r="AG239" s="10"/>
      <c r="AH239" s="10"/>
      <c r="AI239" s="10"/>
      <c r="AJ239" s="10"/>
      <c r="AK239" s="10"/>
      <c r="AL239" s="10"/>
      <c r="AM239" s="10"/>
      <c r="AN239" s="10"/>
      <c r="AO239" s="10"/>
    </row>
    <row r="240" spans="1:41" ht="11.25" customHeight="1">
      <c r="A240" s="35"/>
      <c r="B240" s="31"/>
      <c r="C240" s="31"/>
      <c r="E240" s="10"/>
      <c r="I240" s="10"/>
      <c r="J240" s="18"/>
      <c r="K240" s="10"/>
      <c r="L240" s="10"/>
      <c r="M240" s="10"/>
      <c r="N240" s="10"/>
      <c r="O240" s="10"/>
      <c r="P240" s="10"/>
      <c r="S240" s="10"/>
      <c r="T240" s="10"/>
      <c r="U240" s="10"/>
      <c r="V240" s="10"/>
      <c r="W240" s="10"/>
      <c r="X240" s="10"/>
      <c r="Y240" s="98"/>
      <c r="Z240" s="98"/>
      <c r="AA240" s="98"/>
      <c r="AB240" s="98"/>
      <c r="AC240" s="98"/>
      <c r="AD240" s="10"/>
      <c r="AE240" s="10"/>
      <c r="AF240" s="10"/>
      <c r="AG240" s="10"/>
      <c r="AH240" s="10"/>
      <c r="AI240" s="10"/>
      <c r="AJ240" s="10"/>
      <c r="AK240" s="10"/>
      <c r="AL240" s="10"/>
      <c r="AM240" s="10"/>
      <c r="AN240" s="10"/>
      <c r="AO240" s="10"/>
    </row>
    <row r="241" spans="1:41" ht="11.25" customHeight="1">
      <c r="A241" s="35"/>
      <c r="B241" s="31"/>
      <c r="C241" s="31"/>
      <c r="E241" s="10"/>
      <c r="I241" s="10"/>
      <c r="J241" s="18"/>
      <c r="K241" s="10"/>
      <c r="L241" s="10"/>
      <c r="M241" s="10"/>
      <c r="N241" s="10"/>
      <c r="O241" s="10"/>
      <c r="P241" s="10"/>
      <c r="S241" s="10"/>
      <c r="T241" s="10"/>
      <c r="U241" s="10"/>
      <c r="V241" s="10"/>
      <c r="W241" s="10"/>
      <c r="X241" s="10"/>
      <c r="Y241" s="98"/>
      <c r="Z241" s="98"/>
      <c r="AA241" s="98"/>
      <c r="AB241" s="98"/>
      <c r="AC241" s="98"/>
      <c r="AD241" s="10"/>
      <c r="AE241" s="10"/>
      <c r="AF241" s="10"/>
      <c r="AG241" s="10"/>
      <c r="AH241" s="10"/>
      <c r="AI241" s="10"/>
      <c r="AJ241" s="10"/>
      <c r="AK241" s="10"/>
      <c r="AL241" s="10"/>
      <c r="AM241" s="10"/>
      <c r="AN241" s="10"/>
      <c r="AO241" s="10"/>
    </row>
    <row r="242" spans="1:41" ht="11.25" customHeight="1">
      <c r="A242" s="35"/>
      <c r="B242" s="31"/>
      <c r="C242" s="31"/>
      <c r="E242" s="10"/>
      <c r="I242" s="10"/>
      <c r="J242" s="18"/>
      <c r="K242" s="10"/>
      <c r="L242" s="10"/>
      <c r="M242" s="10"/>
      <c r="N242" s="10"/>
      <c r="O242" s="10"/>
      <c r="P242" s="10"/>
      <c r="S242" s="10"/>
      <c r="T242" s="10"/>
      <c r="U242" s="10"/>
      <c r="V242" s="10"/>
      <c r="W242" s="10"/>
      <c r="X242" s="10"/>
      <c r="Y242" s="98"/>
      <c r="Z242" s="98"/>
      <c r="AA242" s="98"/>
      <c r="AB242" s="98"/>
      <c r="AC242" s="98"/>
      <c r="AD242" s="10"/>
      <c r="AE242" s="10"/>
      <c r="AF242" s="10"/>
      <c r="AG242" s="10"/>
      <c r="AH242" s="10"/>
      <c r="AI242" s="10"/>
      <c r="AJ242" s="10"/>
      <c r="AK242" s="10"/>
      <c r="AL242" s="10"/>
      <c r="AM242" s="10"/>
      <c r="AN242" s="10"/>
      <c r="AO242" s="10"/>
    </row>
    <row r="243" spans="1:41" ht="11.25" customHeight="1">
      <c r="A243" s="35"/>
      <c r="B243" s="31"/>
      <c r="C243" s="31"/>
      <c r="E243" s="10"/>
      <c r="I243" s="10"/>
      <c r="J243" s="18"/>
      <c r="K243" s="10"/>
      <c r="L243" s="10"/>
      <c r="M243" s="10"/>
      <c r="N243" s="10"/>
      <c r="O243" s="10"/>
      <c r="P243" s="10"/>
      <c r="S243" s="10"/>
      <c r="T243" s="10"/>
      <c r="U243" s="10"/>
      <c r="V243" s="10"/>
      <c r="W243" s="10"/>
      <c r="X243" s="10"/>
      <c r="Y243" s="98"/>
      <c r="Z243" s="98"/>
      <c r="AA243" s="98"/>
      <c r="AB243" s="98"/>
      <c r="AC243" s="98"/>
      <c r="AD243" s="10"/>
      <c r="AE243" s="10"/>
      <c r="AF243" s="10"/>
      <c r="AG243" s="10"/>
      <c r="AH243" s="10"/>
      <c r="AI243" s="10"/>
      <c r="AJ243" s="10"/>
      <c r="AK243" s="10"/>
      <c r="AL243" s="10"/>
      <c r="AM243" s="10"/>
      <c r="AN243" s="10"/>
      <c r="AO243" s="10"/>
    </row>
    <row r="244" spans="1:41" ht="11.25" customHeight="1">
      <c r="A244" s="35"/>
      <c r="B244" s="31"/>
      <c r="C244" s="31"/>
      <c r="E244" s="10"/>
      <c r="I244" s="10"/>
      <c r="J244" s="18"/>
      <c r="K244" s="10"/>
      <c r="L244" s="10"/>
      <c r="M244" s="10"/>
      <c r="N244" s="10"/>
      <c r="O244" s="10"/>
      <c r="P244" s="10"/>
      <c r="S244" s="10"/>
      <c r="T244" s="10"/>
      <c r="U244" s="10"/>
      <c r="V244" s="10"/>
      <c r="W244" s="10"/>
      <c r="X244" s="10"/>
      <c r="Y244" s="98"/>
      <c r="Z244" s="98"/>
      <c r="AA244" s="98"/>
      <c r="AB244" s="98"/>
      <c r="AC244" s="98"/>
      <c r="AD244" s="10"/>
      <c r="AE244" s="10"/>
      <c r="AF244" s="10"/>
      <c r="AG244" s="10"/>
      <c r="AH244" s="10"/>
      <c r="AI244" s="10"/>
      <c r="AJ244" s="10"/>
      <c r="AK244" s="10"/>
      <c r="AL244" s="10"/>
      <c r="AM244" s="10"/>
      <c r="AN244" s="10"/>
      <c r="AO244" s="10"/>
    </row>
    <row r="245" spans="1:41" ht="11.25" customHeight="1">
      <c r="A245" s="35"/>
      <c r="B245" s="31"/>
      <c r="C245" s="31"/>
      <c r="E245" s="10"/>
      <c r="I245" s="10"/>
      <c r="J245" s="18"/>
      <c r="K245" s="10"/>
      <c r="L245" s="10"/>
      <c r="M245" s="10"/>
      <c r="N245" s="10"/>
      <c r="O245" s="10"/>
      <c r="P245" s="10"/>
      <c r="S245" s="10"/>
      <c r="T245" s="10"/>
      <c r="U245" s="10"/>
      <c r="V245" s="10"/>
      <c r="W245" s="10"/>
      <c r="X245" s="10"/>
      <c r="Y245" s="98"/>
      <c r="Z245" s="98"/>
      <c r="AA245" s="98"/>
      <c r="AB245" s="98"/>
      <c r="AC245" s="98"/>
      <c r="AD245" s="10"/>
      <c r="AE245" s="10"/>
      <c r="AF245" s="10"/>
      <c r="AG245" s="10"/>
      <c r="AH245" s="10"/>
      <c r="AI245" s="10"/>
      <c r="AJ245" s="10"/>
      <c r="AK245" s="10"/>
      <c r="AL245" s="10"/>
      <c r="AM245" s="10"/>
      <c r="AN245" s="10"/>
      <c r="AO245" s="10"/>
    </row>
    <row r="246" spans="1:41" ht="11.25" customHeight="1">
      <c r="A246" s="35"/>
      <c r="B246" s="31"/>
      <c r="C246" s="31"/>
      <c r="E246" s="10"/>
      <c r="I246" s="10"/>
      <c r="J246" s="18"/>
      <c r="K246" s="10"/>
      <c r="L246" s="10"/>
      <c r="M246" s="10"/>
      <c r="N246" s="10"/>
      <c r="O246" s="10"/>
      <c r="P246" s="10"/>
      <c r="S246" s="10"/>
      <c r="T246" s="10"/>
      <c r="U246" s="10"/>
      <c r="V246" s="10"/>
      <c r="W246" s="10"/>
      <c r="X246" s="10"/>
      <c r="Y246" s="98"/>
      <c r="Z246" s="98"/>
      <c r="AA246" s="98"/>
      <c r="AB246" s="98"/>
      <c r="AC246" s="98"/>
      <c r="AD246" s="10"/>
      <c r="AE246" s="10"/>
      <c r="AF246" s="10"/>
      <c r="AG246" s="10"/>
      <c r="AH246" s="10"/>
      <c r="AI246" s="10"/>
      <c r="AJ246" s="10"/>
      <c r="AK246" s="10"/>
      <c r="AL246" s="10"/>
      <c r="AM246" s="10"/>
      <c r="AN246" s="10"/>
      <c r="AO246" s="10"/>
    </row>
    <row r="247" spans="1:41" ht="11.25" customHeight="1">
      <c r="A247" s="35"/>
      <c r="B247" s="31"/>
      <c r="C247" s="31"/>
      <c r="E247" s="10"/>
      <c r="I247" s="10"/>
      <c r="J247" s="18"/>
      <c r="K247" s="10"/>
      <c r="L247" s="10"/>
      <c r="M247" s="10"/>
      <c r="N247" s="10"/>
      <c r="O247" s="10"/>
      <c r="P247" s="10"/>
      <c r="S247" s="10"/>
      <c r="T247" s="10"/>
      <c r="U247" s="10"/>
      <c r="V247" s="10"/>
      <c r="W247" s="10"/>
      <c r="X247" s="10"/>
      <c r="Y247" s="98"/>
      <c r="Z247" s="98"/>
      <c r="AA247" s="98"/>
      <c r="AB247" s="98"/>
      <c r="AC247" s="98"/>
      <c r="AD247" s="10"/>
      <c r="AE247" s="10"/>
      <c r="AF247" s="10"/>
      <c r="AG247" s="10"/>
      <c r="AH247" s="10"/>
      <c r="AI247" s="10"/>
      <c r="AJ247" s="10"/>
      <c r="AK247" s="10"/>
      <c r="AL247" s="10"/>
      <c r="AM247" s="10"/>
      <c r="AN247" s="10"/>
      <c r="AO247" s="10"/>
    </row>
    <row r="248" spans="1:41" ht="11.25" customHeight="1">
      <c r="A248" s="35"/>
      <c r="B248" s="31"/>
      <c r="C248" s="31"/>
      <c r="E248" s="10"/>
      <c r="I248" s="10"/>
      <c r="J248" s="18"/>
      <c r="K248" s="10"/>
      <c r="L248" s="10"/>
      <c r="M248" s="10"/>
      <c r="N248" s="10"/>
      <c r="O248" s="10"/>
      <c r="P248" s="10"/>
      <c r="S248" s="10"/>
      <c r="T248" s="10"/>
      <c r="U248" s="10"/>
      <c r="V248" s="10"/>
      <c r="W248" s="10"/>
      <c r="X248" s="10"/>
      <c r="Y248" s="98"/>
      <c r="Z248" s="98"/>
      <c r="AA248" s="98"/>
      <c r="AB248" s="98"/>
      <c r="AC248" s="98"/>
      <c r="AD248" s="10"/>
      <c r="AE248" s="10"/>
      <c r="AF248" s="10"/>
      <c r="AG248" s="10"/>
      <c r="AH248" s="10"/>
      <c r="AI248" s="10"/>
      <c r="AJ248" s="10"/>
      <c r="AK248" s="10"/>
      <c r="AL248" s="10"/>
      <c r="AM248" s="10"/>
      <c r="AN248" s="10"/>
      <c r="AO248" s="10"/>
    </row>
    <row r="249" spans="1:41" ht="11.25" customHeight="1">
      <c r="A249" s="35"/>
      <c r="B249" s="31"/>
      <c r="C249" s="31"/>
      <c r="E249" s="10"/>
      <c r="I249" s="10"/>
      <c r="J249" s="18"/>
      <c r="K249" s="10"/>
      <c r="L249" s="10"/>
      <c r="M249" s="10"/>
      <c r="N249" s="10"/>
      <c r="O249" s="10"/>
      <c r="P249" s="10"/>
      <c r="S249" s="10"/>
      <c r="T249" s="10"/>
      <c r="U249" s="10"/>
      <c r="V249" s="10"/>
      <c r="W249" s="10"/>
      <c r="X249" s="10"/>
      <c r="Y249" s="98"/>
      <c r="Z249" s="98"/>
      <c r="AA249" s="98"/>
      <c r="AB249" s="98"/>
      <c r="AC249" s="98"/>
      <c r="AD249" s="10"/>
      <c r="AE249" s="10"/>
      <c r="AF249" s="10"/>
      <c r="AG249" s="10"/>
      <c r="AH249" s="10"/>
      <c r="AI249" s="10"/>
      <c r="AJ249" s="10"/>
      <c r="AK249" s="10"/>
      <c r="AL249" s="10"/>
      <c r="AM249" s="10"/>
      <c r="AN249" s="10"/>
      <c r="AO249" s="10"/>
    </row>
    <row r="250" spans="1:41" ht="11.25" customHeight="1">
      <c r="A250" s="35"/>
      <c r="B250" s="31"/>
      <c r="C250" s="31"/>
      <c r="E250" s="10"/>
      <c r="I250" s="10"/>
      <c r="J250" s="18"/>
      <c r="K250" s="10"/>
      <c r="L250" s="10"/>
      <c r="M250" s="10"/>
      <c r="N250" s="10"/>
      <c r="O250" s="10"/>
      <c r="P250" s="10"/>
      <c r="S250" s="10"/>
      <c r="T250" s="10"/>
      <c r="U250" s="10"/>
      <c r="V250" s="10"/>
      <c r="W250" s="10"/>
      <c r="X250" s="10"/>
      <c r="Y250" s="98"/>
      <c r="Z250" s="98"/>
      <c r="AA250" s="98"/>
      <c r="AB250" s="98"/>
      <c r="AC250" s="98"/>
      <c r="AD250" s="10"/>
      <c r="AE250" s="10"/>
      <c r="AF250" s="10"/>
      <c r="AG250" s="10"/>
      <c r="AH250" s="10"/>
      <c r="AI250" s="10"/>
      <c r="AJ250" s="10"/>
      <c r="AK250" s="10"/>
      <c r="AL250" s="10"/>
      <c r="AM250" s="10"/>
      <c r="AN250" s="10"/>
      <c r="AO250" s="10"/>
    </row>
    <row r="251" spans="1:41" ht="11.25" customHeight="1">
      <c r="A251" s="35"/>
      <c r="B251" s="31"/>
      <c r="C251" s="31"/>
      <c r="E251" s="10"/>
      <c r="I251" s="10"/>
      <c r="J251" s="18"/>
      <c r="K251" s="10"/>
      <c r="L251" s="10"/>
      <c r="M251" s="10"/>
      <c r="N251" s="10"/>
      <c r="O251" s="10"/>
      <c r="P251" s="10"/>
      <c r="S251" s="10"/>
      <c r="T251" s="10"/>
      <c r="U251" s="10"/>
      <c r="V251" s="10"/>
      <c r="W251" s="10"/>
      <c r="X251" s="10"/>
      <c r="Y251" s="98"/>
      <c r="Z251" s="98"/>
      <c r="AA251" s="98"/>
      <c r="AB251" s="98"/>
      <c r="AC251" s="98"/>
      <c r="AD251" s="10"/>
      <c r="AE251" s="10"/>
      <c r="AF251" s="10"/>
      <c r="AG251" s="10"/>
      <c r="AH251" s="10"/>
      <c r="AI251" s="10"/>
      <c r="AJ251" s="10"/>
      <c r="AK251" s="10"/>
      <c r="AL251" s="10"/>
      <c r="AM251" s="10"/>
      <c r="AN251" s="10"/>
      <c r="AO251" s="10"/>
    </row>
    <row r="252" spans="1:41" ht="11.25" customHeight="1">
      <c r="A252" s="35"/>
      <c r="B252" s="31"/>
      <c r="C252" s="31"/>
      <c r="E252" s="10"/>
      <c r="I252" s="10"/>
      <c r="J252" s="18"/>
      <c r="K252" s="10"/>
      <c r="L252" s="10"/>
      <c r="M252" s="10"/>
      <c r="N252" s="10"/>
      <c r="O252" s="10"/>
      <c r="P252" s="10"/>
      <c r="S252" s="10"/>
      <c r="T252" s="10"/>
      <c r="U252" s="10"/>
      <c r="V252" s="10"/>
      <c r="W252" s="10"/>
      <c r="X252" s="10"/>
      <c r="Y252" s="98"/>
      <c r="Z252" s="98"/>
      <c r="AA252" s="98"/>
      <c r="AB252" s="98"/>
      <c r="AC252" s="98"/>
      <c r="AD252" s="10"/>
      <c r="AE252" s="10"/>
      <c r="AF252" s="10"/>
      <c r="AG252" s="10"/>
      <c r="AH252" s="10"/>
      <c r="AI252" s="10"/>
      <c r="AJ252" s="10"/>
      <c r="AK252" s="10"/>
      <c r="AL252" s="10"/>
      <c r="AM252" s="10"/>
      <c r="AN252" s="10"/>
      <c r="AO252" s="10"/>
    </row>
    <row r="253" spans="1:41" ht="11.25" customHeight="1">
      <c r="A253" s="35"/>
      <c r="B253" s="31"/>
      <c r="C253" s="31"/>
      <c r="E253" s="10"/>
      <c r="I253" s="10"/>
      <c r="J253" s="18"/>
      <c r="K253" s="10"/>
      <c r="L253" s="10"/>
      <c r="M253" s="10"/>
      <c r="N253" s="10"/>
      <c r="O253" s="10"/>
      <c r="P253" s="10"/>
      <c r="S253" s="10"/>
      <c r="T253" s="10"/>
      <c r="U253" s="10"/>
      <c r="V253" s="10"/>
      <c r="W253" s="10"/>
      <c r="X253" s="10"/>
      <c r="Y253" s="98"/>
      <c r="Z253" s="98"/>
      <c r="AA253" s="98"/>
      <c r="AB253" s="98"/>
      <c r="AC253" s="98"/>
      <c r="AD253" s="10"/>
      <c r="AE253" s="10"/>
      <c r="AF253" s="10"/>
      <c r="AG253" s="10"/>
      <c r="AH253" s="10"/>
      <c r="AI253" s="10"/>
      <c r="AJ253" s="10"/>
      <c r="AK253" s="10"/>
      <c r="AL253" s="10"/>
      <c r="AM253" s="10"/>
      <c r="AN253" s="10"/>
      <c r="AO253" s="10"/>
    </row>
    <row r="254" spans="1:41" ht="11.25" customHeight="1">
      <c r="A254" s="35"/>
      <c r="B254" s="31"/>
      <c r="C254" s="31"/>
      <c r="E254" s="10"/>
      <c r="I254" s="10"/>
      <c r="J254" s="18"/>
      <c r="K254" s="10"/>
      <c r="L254" s="10"/>
      <c r="M254" s="10"/>
      <c r="N254" s="10"/>
      <c r="O254" s="10"/>
      <c r="P254" s="10"/>
      <c r="S254" s="10"/>
      <c r="T254" s="10"/>
      <c r="U254" s="10"/>
      <c r="V254" s="10"/>
      <c r="W254" s="10"/>
      <c r="X254" s="10"/>
      <c r="Y254" s="98"/>
      <c r="Z254" s="98"/>
      <c r="AA254" s="98"/>
      <c r="AB254" s="98"/>
      <c r="AC254" s="98"/>
      <c r="AD254" s="10"/>
      <c r="AE254" s="10"/>
      <c r="AF254" s="10"/>
      <c r="AG254" s="10"/>
      <c r="AH254" s="10"/>
      <c r="AI254" s="10"/>
      <c r="AJ254" s="10"/>
      <c r="AK254" s="10"/>
      <c r="AL254" s="10"/>
      <c r="AM254" s="10"/>
      <c r="AN254" s="10"/>
      <c r="AO254" s="10"/>
    </row>
    <row r="255" spans="1:41" ht="11.25" customHeight="1">
      <c r="A255" s="35"/>
      <c r="B255" s="31"/>
      <c r="C255" s="31"/>
      <c r="E255" s="10"/>
      <c r="I255" s="10"/>
      <c r="J255" s="18"/>
      <c r="K255" s="10"/>
      <c r="L255" s="10"/>
      <c r="M255" s="10"/>
      <c r="N255" s="10"/>
      <c r="O255" s="10"/>
      <c r="P255" s="10"/>
      <c r="S255" s="10"/>
      <c r="T255" s="10"/>
      <c r="U255" s="10"/>
      <c r="V255" s="10"/>
      <c r="W255" s="10"/>
      <c r="X255" s="10"/>
      <c r="Y255" s="98"/>
      <c r="Z255" s="98"/>
      <c r="AA255" s="98"/>
      <c r="AB255" s="98"/>
      <c r="AC255" s="98"/>
      <c r="AD255" s="10"/>
      <c r="AE255" s="10"/>
      <c r="AF255" s="10"/>
      <c r="AG255" s="10"/>
      <c r="AH255" s="10"/>
      <c r="AI255" s="10"/>
      <c r="AJ255" s="10"/>
      <c r="AK255" s="10"/>
      <c r="AL255" s="10"/>
      <c r="AM255" s="10"/>
      <c r="AN255" s="10"/>
      <c r="AO255" s="10"/>
    </row>
    <row r="256" spans="1:41" ht="11.25" customHeight="1">
      <c r="A256" s="35"/>
      <c r="B256" s="31"/>
      <c r="C256" s="31"/>
      <c r="E256" s="10"/>
      <c r="I256" s="10"/>
      <c r="J256" s="18"/>
      <c r="K256" s="10"/>
      <c r="L256" s="10"/>
      <c r="M256" s="10"/>
      <c r="N256" s="10"/>
      <c r="O256" s="10"/>
      <c r="P256" s="10"/>
      <c r="S256" s="10"/>
      <c r="T256" s="10"/>
      <c r="U256" s="10"/>
      <c r="V256" s="10"/>
      <c r="W256" s="10"/>
      <c r="X256" s="10"/>
      <c r="Y256" s="98"/>
      <c r="Z256" s="98"/>
      <c r="AA256" s="98"/>
      <c r="AB256" s="98"/>
      <c r="AC256" s="98"/>
      <c r="AD256" s="10"/>
      <c r="AE256" s="10"/>
      <c r="AF256" s="10"/>
      <c r="AG256" s="10"/>
      <c r="AH256" s="10"/>
      <c r="AI256" s="10"/>
      <c r="AJ256" s="10"/>
      <c r="AK256" s="10"/>
      <c r="AL256" s="10"/>
      <c r="AM256" s="10"/>
      <c r="AN256" s="10"/>
      <c r="AO256" s="10"/>
    </row>
    <row r="257" spans="1:41" ht="11.25" customHeight="1">
      <c r="A257" s="35"/>
      <c r="B257" s="31"/>
      <c r="C257" s="31"/>
      <c r="E257" s="10"/>
      <c r="I257" s="10"/>
      <c r="J257" s="18"/>
      <c r="K257" s="10"/>
      <c r="L257" s="10"/>
      <c r="M257" s="10"/>
      <c r="N257" s="10"/>
      <c r="O257" s="10"/>
      <c r="P257" s="10"/>
      <c r="S257" s="10"/>
      <c r="T257" s="10"/>
      <c r="U257" s="10"/>
      <c r="V257" s="10"/>
      <c r="W257" s="10"/>
      <c r="X257" s="10"/>
      <c r="Y257" s="98"/>
      <c r="Z257" s="98"/>
      <c r="AA257" s="98"/>
      <c r="AB257" s="98"/>
      <c r="AC257" s="98"/>
      <c r="AD257" s="10"/>
      <c r="AE257" s="10"/>
      <c r="AF257" s="10"/>
      <c r="AG257" s="10"/>
      <c r="AH257" s="10"/>
      <c r="AI257" s="10"/>
      <c r="AJ257" s="10"/>
      <c r="AK257" s="10"/>
      <c r="AL257" s="10"/>
      <c r="AM257" s="10"/>
      <c r="AN257" s="10"/>
      <c r="AO257" s="10"/>
    </row>
    <row r="258" spans="1:41" ht="11.25" customHeight="1">
      <c r="A258" s="35"/>
      <c r="B258" s="31"/>
      <c r="C258" s="31"/>
      <c r="E258" s="10"/>
      <c r="I258" s="10"/>
      <c r="J258" s="18"/>
      <c r="K258" s="10"/>
      <c r="L258" s="10"/>
      <c r="M258" s="10"/>
      <c r="N258" s="10"/>
      <c r="O258" s="10"/>
      <c r="P258" s="10"/>
      <c r="S258" s="10"/>
      <c r="T258" s="10"/>
      <c r="U258" s="10"/>
      <c r="V258" s="10"/>
      <c r="W258" s="10"/>
      <c r="X258" s="10"/>
      <c r="Y258" s="98"/>
      <c r="Z258" s="98"/>
      <c r="AA258" s="98"/>
      <c r="AB258" s="98"/>
      <c r="AC258" s="98"/>
      <c r="AD258" s="10"/>
      <c r="AE258" s="10"/>
      <c r="AF258" s="10"/>
      <c r="AG258" s="10"/>
      <c r="AH258" s="10"/>
      <c r="AI258" s="10"/>
      <c r="AJ258" s="10"/>
      <c r="AK258" s="10"/>
      <c r="AL258" s="10"/>
      <c r="AM258" s="10"/>
      <c r="AN258" s="10"/>
      <c r="AO258" s="10"/>
    </row>
    <row r="259" spans="1:41" ht="11.25" customHeight="1">
      <c r="A259" s="35"/>
      <c r="B259" s="31"/>
      <c r="C259" s="31"/>
      <c r="E259" s="10"/>
      <c r="I259" s="10"/>
      <c r="J259" s="18"/>
      <c r="K259" s="10"/>
      <c r="L259" s="10"/>
      <c r="M259" s="10"/>
      <c r="N259" s="10"/>
      <c r="O259" s="10"/>
      <c r="P259" s="10"/>
      <c r="S259" s="10"/>
      <c r="T259" s="10"/>
      <c r="U259" s="10"/>
      <c r="V259" s="10"/>
      <c r="W259" s="10"/>
      <c r="X259" s="10"/>
      <c r="Y259" s="98"/>
      <c r="Z259" s="98"/>
      <c r="AA259" s="98"/>
      <c r="AB259" s="98"/>
      <c r="AC259" s="98"/>
      <c r="AD259" s="10"/>
      <c r="AE259" s="10"/>
      <c r="AF259" s="10"/>
      <c r="AG259" s="10"/>
      <c r="AH259" s="10"/>
      <c r="AI259" s="10"/>
      <c r="AJ259" s="10"/>
      <c r="AK259" s="10"/>
      <c r="AL259" s="10"/>
      <c r="AM259" s="10"/>
      <c r="AN259" s="10"/>
      <c r="AO259" s="10"/>
    </row>
    <row r="260" spans="1:41" ht="11.25" customHeight="1">
      <c r="A260" s="35"/>
      <c r="B260" s="31"/>
      <c r="C260" s="31"/>
      <c r="E260" s="10"/>
      <c r="I260" s="10"/>
      <c r="J260" s="18"/>
      <c r="K260" s="10"/>
      <c r="L260" s="10"/>
      <c r="M260" s="10"/>
      <c r="N260" s="10"/>
      <c r="O260" s="10"/>
      <c r="P260" s="10"/>
      <c r="S260" s="10"/>
      <c r="T260" s="10"/>
      <c r="U260" s="10"/>
      <c r="V260" s="10"/>
      <c r="W260" s="10"/>
      <c r="X260" s="10"/>
      <c r="Y260" s="98"/>
      <c r="Z260" s="98"/>
      <c r="AA260" s="98"/>
      <c r="AB260" s="98"/>
      <c r="AC260" s="98"/>
      <c r="AD260" s="10"/>
      <c r="AE260" s="10"/>
      <c r="AF260" s="10"/>
      <c r="AG260" s="10"/>
      <c r="AH260" s="10"/>
      <c r="AI260" s="10"/>
      <c r="AJ260" s="10"/>
      <c r="AK260" s="10"/>
      <c r="AL260" s="10"/>
      <c r="AM260" s="10"/>
      <c r="AN260" s="10"/>
      <c r="AO260" s="10"/>
    </row>
    <row r="261" spans="1:41" ht="11.25" customHeight="1">
      <c r="A261" s="35"/>
      <c r="B261" s="31"/>
      <c r="C261" s="31"/>
      <c r="E261" s="10"/>
      <c r="I261" s="10"/>
      <c r="J261" s="18"/>
      <c r="K261" s="10"/>
      <c r="L261" s="10"/>
      <c r="M261" s="10"/>
      <c r="N261" s="10"/>
      <c r="O261" s="10"/>
      <c r="P261" s="10"/>
      <c r="S261" s="10"/>
      <c r="T261" s="10"/>
      <c r="U261" s="10"/>
      <c r="V261" s="10"/>
      <c r="W261" s="10"/>
      <c r="X261" s="10"/>
      <c r="Y261" s="98"/>
      <c r="Z261" s="98"/>
      <c r="AA261" s="98"/>
      <c r="AB261" s="98"/>
      <c r="AC261" s="98"/>
      <c r="AD261" s="10"/>
      <c r="AE261" s="10"/>
      <c r="AF261" s="10"/>
      <c r="AG261" s="10"/>
      <c r="AH261" s="10"/>
      <c r="AI261" s="10"/>
      <c r="AJ261" s="10"/>
      <c r="AK261" s="10"/>
      <c r="AL261" s="10"/>
      <c r="AM261" s="10"/>
      <c r="AN261" s="10"/>
      <c r="AO261" s="10"/>
    </row>
    <row r="262" spans="1:41" ht="11.25" customHeight="1">
      <c r="A262" s="35"/>
      <c r="B262" s="31"/>
      <c r="C262" s="31"/>
      <c r="E262" s="10"/>
      <c r="I262" s="10"/>
      <c r="J262" s="18"/>
      <c r="K262" s="10"/>
      <c r="L262" s="10"/>
      <c r="M262" s="10"/>
      <c r="N262" s="10"/>
      <c r="O262" s="10"/>
      <c r="P262" s="10"/>
      <c r="S262" s="10"/>
      <c r="T262" s="10"/>
      <c r="U262" s="10"/>
      <c r="V262" s="10"/>
      <c r="W262" s="10"/>
      <c r="X262" s="10"/>
      <c r="Y262" s="98"/>
      <c r="Z262" s="98"/>
      <c r="AA262" s="98"/>
      <c r="AB262" s="98"/>
      <c r="AC262" s="98"/>
      <c r="AD262" s="10"/>
      <c r="AE262" s="10"/>
      <c r="AF262" s="10"/>
      <c r="AG262" s="10"/>
      <c r="AH262" s="10"/>
      <c r="AI262" s="10"/>
      <c r="AJ262" s="10"/>
      <c r="AK262" s="10"/>
      <c r="AL262" s="10"/>
      <c r="AM262" s="10"/>
      <c r="AN262" s="10"/>
      <c r="AO262" s="10"/>
    </row>
    <row r="263" spans="1:41" ht="11.25" customHeight="1">
      <c r="A263" s="35"/>
      <c r="B263" s="31"/>
      <c r="C263" s="31"/>
      <c r="E263" s="10"/>
      <c r="I263" s="10"/>
      <c r="J263" s="18"/>
      <c r="K263" s="10"/>
      <c r="L263" s="10"/>
      <c r="M263" s="10"/>
      <c r="N263" s="10"/>
      <c r="O263" s="10"/>
      <c r="P263" s="10"/>
      <c r="S263" s="10"/>
      <c r="T263" s="10"/>
      <c r="U263" s="10"/>
      <c r="V263" s="10"/>
      <c r="W263" s="10"/>
      <c r="X263" s="10"/>
      <c r="Y263" s="98"/>
      <c r="Z263" s="98"/>
      <c r="AA263" s="98"/>
      <c r="AB263" s="98"/>
      <c r="AC263" s="98"/>
      <c r="AD263" s="10"/>
      <c r="AE263" s="10"/>
      <c r="AF263" s="10"/>
      <c r="AG263" s="10"/>
      <c r="AH263" s="10"/>
      <c r="AI263" s="10"/>
      <c r="AJ263" s="10"/>
      <c r="AK263" s="10"/>
      <c r="AL263" s="10"/>
      <c r="AM263" s="10"/>
      <c r="AN263" s="10"/>
      <c r="AO263" s="10"/>
    </row>
    <row r="264" spans="1:41" ht="11.25" customHeight="1">
      <c r="A264" s="35"/>
      <c r="B264" s="31"/>
      <c r="C264" s="31"/>
      <c r="E264" s="10"/>
      <c r="I264" s="10"/>
      <c r="J264" s="18"/>
      <c r="K264" s="10"/>
      <c r="L264" s="10"/>
      <c r="M264" s="10"/>
      <c r="N264" s="10"/>
      <c r="O264" s="10"/>
      <c r="P264" s="10"/>
      <c r="S264" s="10"/>
      <c r="T264" s="10"/>
      <c r="U264" s="10"/>
      <c r="V264" s="10"/>
      <c r="W264" s="10"/>
      <c r="X264" s="10"/>
      <c r="Y264" s="98"/>
      <c r="Z264" s="98"/>
      <c r="AA264" s="98"/>
      <c r="AB264" s="98"/>
      <c r="AC264" s="98"/>
      <c r="AD264" s="10"/>
      <c r="AE264" s="10"/>
      <c r="AF264" s="10"/>
      <c r="AG264" s="10"/>
      <c r="AH264" s="10"/>
      <c r="AI264" s="10"/>
      <c r="AJ264" s="10"/>
      <c r="AK264" s="10"/>
      <c r="AL264" s="10"/>
      <c r="AM264" s="10"/>
      <c r="AN264" s="10"/>
      <c r="AO264" s="10"/>
    </row>
    <row r="265" spans="1:41" ht="11.25" customHeight="1">
      <c r="A265" s="35"/>
      <c r="B265" s="31"/>
      <c r="C265" s="31"/>
      <c r="E265" s="10"/>
      <c r="I265" s="10"/>
      <c r="J265" s="18"/>
      <c r="K265" s="10"/>
      <c r="L265" s="10"/>
      <c r="M265" s="10"/>
      <c r="N265" s="10"/>
      <c r="O265" s="10"/>
      <c r="P265" s="10"/>
      <c r="S265" s="10"/>
      <c r="T265" s="10"/>
      <c r="U265" s="10"/>
      <c r="V265" s="10"/>
      <c r="W265" s="10"/>
      <c r="X265" s="10"/>
      <c r="Y265" s="98"/>
      <c r="Z265" s="98"/>
      <c r="AA265" s="98"/>
      <c r="AB265" s="98"/>
      <c r="AC265" s="98"/>
      <c r="AD265" s="10"/>
      <c r="AE265" s="10"/>
      <c r="AF265" s="10"/>
      <c r="AG265" s="10"/>
      <c r="AH265" s="10"/>
      <c r="AI265" s="10"/>
      <c r="AJ265" s="10"/>
      <c r="AK265" s="10"/>
      <c r="AL265" s="10"/>
      <c r="AM265" s="10"/>
      <c r="AN265" s="10"/>
      <c r="AO265" s="10"/>
    </row>
    <row r="266" spans="1:41" ht="11.25" customHeight="1">
      <c r="A266" s="35"/>
      <c r="B266" s="31"/>
      <c r="C266" s="31"/>
      <c r="E266" s="10"/>
      <c r="I266" s="10"/>
      <c r="J266" s="18"/>
      <c r="K266" s="10"/>
      <c r="L266" s="10"/>
      <c r="M266" s="10"/>
      <c r="N266" s="10"/>
      <c r="O266" s="10"/>
      <c r="P266" s="10"/>
      <c r="S266" s="10"/>
      <c r="T266" s="10"/>
      <c r="U266" s="10"/>
      <c r="V266" s="10"/>
      <c r="W266" s="10"/>
      <c r="X266" s="10"/>
      <c r="Y266" s="98"/>
      <c r="Z266" s="98"/>
      <c r="AA266" s="98"/>
      <c r="AB266" s="98"/>
      <c r="AC266" s="98"/>
      <c r="AD266" s="10"/>
      <c r="AE266" s="10"/>
      <c r="AF266" s="10"/>
      <c r="AG266" s="10"/>
      <c r="AH266" s="10"/>
      <c r="AI266" s="10"/>
      <c r="AJ266" s="10"/>
      <c r="AK266" s="10"/>
      <c r="AL266" s="10"/>
      <c r="AM266" s="10"/>
      <c r="AN266" s="10"/>
      <c r="AO266" s="10"/>
    </row>
    <row r="267" spans="1:41" ht="11.25" customHeight="1">
      <c r="A267" s="35"/>
      <c r="B267" s="31"/>
      <c r="C267" s="31"/>
      <c r="E267" s="10"/>
      <c r="I267" s="10"/>
      <c r="J267" s="18"/>
      <c r="K267" s="10"/>
      <c r="L267" s="10"/>
      <c r="M267" s="10"/>
      <c r="N267" s="10"/>
      <c r="O267" s="10"/>
      <c r="P267" s="10"/>
      <c r="S267" s="10"/>
      <c r="T267" s="10"/>
      <c r="U267" s="10"/>
      <c r="V267" s="10"/>
      <c r="W267" s="10"/>
      <c r="X267" s="10"/>
      <c r="Y267" s="98"/>
      <c r="Z267" s="98"/>
      <c r="AA267" s="98"/>
      <c r="AB267" s="98"/>
      <c r="AC267" s="98"/>
      <c r="AD267" s="10"/>
      <c r="AE267" s="10"/>
      <c r="AF267" s="10"/>
      <c r="AG267" s="10"/>
      <c r="AH267" s="10"/>
      <c r="AI267" s="10"/>
      <c r="AJ267" s="10"/>
      <c r="AK267" s="10"/>
      <c r="AL267" s="10"/>
      <c r="AM267" s="10"/>
      <c r="AN267" s="10"/>
      <c r="AO267" s="10"/>
    </row>
    <row r="268" spans="1:41" ht="11.25" customHeight="1">
      <c r="A268" s="35"/>
      <c r="B268" s="31"/>
      <c r="C268" s="31"/>
      <c r="E268" s="10"/>
      <c r="I268" s="10"/>
      <c r="J268" s="18"/>
      <c r="K268" s="10"/>
      <c r="L268" s="10"/>
      <c r="M268" s="10"/>
      <c r="N268" s="10"/>
      <c r="O268" s="10"/>
      <c r="P268" s="10"/>
      <c r="S268" s="10"/>
      <c r="T268" s="10"/>
      <c r="U268" s="10"/>
      <c r="V268" s="10"/>
      <c r="W268" s="10"/>
      <c r="X268" s="10"/>
      <c r="Y268" s="98"/>
      <c r="Z268" s="98"/>
      <c r="AA268" s="98"/>
      <c r="AB268" s="98"/>
      <c r="AC268" s="98"/>
      <c r="AD268" s="10"/>
      <c r="AE268" s="10"/>
      <c r="AF268" s="10"/>
      <c r="AG268" s="10"/>
      <c r="AH268" s="10"/>
      <c r="AI268" s="10"/>
      <c r="AJ268" s="10"/>
      <c r="AK268" s="10"/>
      <c r="AL268" s="10"/>
      <c r="AM268" s="10"/>
      <c r="AN268" s="10"/>
      <c r="AO268" s="10"/>
    </row>
    <row r="269" spans="1:41" ht="11.25" customHeight="1">
      <c r="A269" s="35"/>
      <c r="B269" s="31"/>
      <c r="C269" s="31"/>
      <c r="E269" s="10"/>
      <c r="I269" s="10"/>
      <c r="J269" s="18"/>
      <c r="K269" s="10"/>
      <c r="L269" s="10"/>
      <c r="M269" s="10"/>
      <c r="N269" s="10"/>
      <c r="O269" s="10"/>
      <c r="P269" s="10"/>
      <c r="S269" s="10"/>
      <c r="T269" s="10"/>
      <c r="U269" s="10"/>
      <c r="V269" s="10"/>
      <c r="W269" s="10"/>
      <c r="X269" s="10"/>
      <c r="Y269" s="98"/>
      <c r="Z269" s="98"/>
      <c r="AA269" s="98"/>
      <c r="AB269" s="98"/>
      <c r="AC269" s="98"/>
      <c r="AD269" s="10"/>
      <c r="AE269" s="10"/>
      <c r="AF269" s="10"/>
      <c r="AG269" s="10"/>
      <c r="AH269" s="10"/>
      <c r="AI269" s="10"/>
      <c r="AJ269" s="10"/>
      <c r="AK269" s="10"/>
      <c r="AL269" s="10"/>
      <c r="AM269" s="10"/>
      <c r="AN269" s="10"/>
      <c r="AO269" s="10"/>
    </row>
    <row r="270" spans="1:41" ht="11.25" customHeight="1">
      <c r="A270" s="35"/>
      <c r="B270" s="31"/>
      <c r="C270" s="31"/>
      <c r="E270" s="10"/>
      <c r="I270" s="10"/>
      <c r="J270" s="18"/>
      <c r="K270" s="10"/>
      <c r="L270" s="10"/>
      <c r="M270" s="10"/>
      <c r="N270" s="10"/>
      <c r="O270" s="10"/>
      <c r="P270" s="10"/>
      <c r="S270" s="10"/>
      <c r="T270" s="10"/>
      <c r="U270" s="10"/>
      <c r="V270" s="10"/>
      <c r="W270" s="10"/>
      <c r="X270" s="10"/>
      <c r="Y270" s="98"/>
      <c r="Z270" s="98"/>
      <c r="AA270" s="98"/>
      <c r="AB270" s="98"/>
      <c r="AC270" s="98"/>
      <c r="AD270" s="10"/>
      <c r="AE270" s="10"/>
      <c r="AF270" s="10"/>
      <c r="AG270" s="10"/>
      <c r="AH270" s="10"/>
      <c r="AI270" s="10"/>
      <c r="AJ270" s="10"/>
      <c r="AK270" s="10"/>
      <c r="AL270" s="10"/>
      <c r="AM270" s="10"/>
      <c r="AN270" s="10"/>
      <c r="AO270" s="10"/>
    </row>
    <row r="271" spans="1:41" ht="11.25" customHeight="1">
      <c r="A271" s="35"/>
      <c r="B271" s="31"/>
      <c r="C271" s="31"/>
      <c r="E271" s="10"/>
      <c r="I271" s="10"/>
      <c r="J271" s="18"/>
      <c r="K271" s="10"/>
      <c r="L271" s="10"/>
      <c r="M271" s="10"/>
      <c r="N271" s="10"/>
      <c r="O271" s="10"/>
      <c r="P271" s="10"/>
      <c r="S271" s="10"/>
      <c r="T271" s="10"/>
      <c r="U271" s="10"/>
      <c r="V271" s="10"/>
      <c r="W271" s="10"/>
      <c r="X271" s="10"/>
      <c r="Y271" s="98"/>
      <c r="Z271" s="98"/>
      <c r="AA271" s="98"/>
      <c r="AB271" s="98"/>
      <c r="AC271" s="98"/>
      <c r="AD271" s="10"/>
      <c r="AE271" s="10"/>
      <c r="AF271" s="10"/>
      <c r="AG271" s="10"/>
      <c r="AH271" s="10"/>
      <c r="AI271" s="10"/>
      <c r="AJ271" s="10"/>
      <c r="AK271" s="10"/>
      <c r="AL271" s="10"/>
      <c r="AM271" s="10"/>
      <c r="AN271" s="10"/>
      <c r="AO271" s="10"/>
    </row>
    <row r="272" spans="1:41" ht="11.25" customHeight="1">
      <c r="A272" s="35"/>
      <c r="B272" s="31"/>
      <c r="C272" s="31"/>
      <c r="E272" s="10"/>
      <c r="I272" s="10"/>
      <c r="J272" s="18"/>
      <c r="K272" s="10"/>
      <c r="L272" s="10"/>
      <c r="M272" s="10"/>
      <c r="N272" s="10"/>
      <c r="O272" s="10"/>
      <c r="P272" s="10"/>
      <c r="S272" s="10"/>
      <c r="T272" s="10"/>
      <c r="U272" s="10"/>
      <c r="V272" s="10"/>
      <c r="W272" s="10"/>
      <c r="X272" s="10"/>
      <c r="Y272" s="98"/>
      <c r="Z272" s="98"/>
      <c r="AA272" s="98"/>
      <c r="AB272" s="98"/>
      <c r="AC272" s="98"/>
      <c r="AD272" s="10"/>
      <c r="AE272" s="10"/>
      <c r="AF272" s="10"/>
      <c r="AG272" s="10"/>
      <c r="AH272" s="10"/>
      <c r="AI272" s="10"/>
      <c r="AJ272" s="10"/>
      <c r="AK272" s="10"/>
      <c r="AL272" s="10"/>
      <c r="AM272" s="10"/>
      <c r="AN272" s="10"/>
      <c r="AO272" s="10"/>
    </row>
    <row r="273" spans="1:41" ht="11.25" customHeight="1">
      <c r="A273" s="35"/>
      <c r="B273" s="31"/>
      <c r="C273" s="31"/>
      <c r="E273" s="10"/>
      <c r="I273" s="10"/>
      <c r="J273" s="18"/>
      <c r="K273" s="10"/>
      <c r="L273" s="10"/>
      <c r="M273" s="10"/>
      <c r="N273" s="10"/>
      <c r="O273" s="10"/>
      <c r="P273" s="10"/>
      <c r="S273" s="10"/>
      <c r="T273" s="10"/>
      <c r="U273" s="10"/>
      <c r="V273" s="10"/>
      <c r="W273" s="10"/>
      <c r="X273" s="10"/>
      <c r="Y273" s="98"/>
      <c r="Z273" s="98"/>
      <c r="AA273" s="98"/>
      <c r="AB273" s="98"/>
      <c r="AC273" s="98"/>
      <c r="AD273" s="10"/>
      <c r="AE273" s="10"/>
      <c r="AF273" s="10"/>
      <c r="AG273" s="10"/>
      <c r="AH273" s="10"/>
      <c r="AI273" s="10"/>
      <c r="AJ273" s="10"/>
      <c r="AK273" s="10"/>
      <c r="AL273" s="10"/>
      <c r="AM273" s="10"/>
      <c r="AN273" s="10"/>
      <c r="AO273" s="10"/>
    </row>
    <row r="274" spans="1:41" ht="11.25" customHeight="1">
      <c r="A274" s="35"/>
      <c r="B274" s="31"/>
      <c r="C274" s="31"/>
      <c r="E274" s="10"/>
      <c r="I274" s="10"/>
      <c r="J274" s="18"/>
      <c r="K274" s="10"/>
      <c r="L274" s="10"/>
      <c r="M274" s="10"/>
      <c r="N274" s="10"/>
      <c r="O274" s="10"/>
      <c r="P274" s="10"/>
      <c r="S274" s="10"/>
      <c r="T274" s="10"/>
      <c r="U274" s="10"/>
      <c r="V274" s="10"/>
      <c r="W274" s="10"/>
      <c r="X274" s="10"/>
      <c r="Y274" s="98"/>
      <c r="Z274" s="98"/>
      <c r="AA274" s="98"/>
      <c r="AB274" s="98"/>
      <c r="AC274" s="98"/>
      <c r="AD274" s="10"/>
      <c r="AE274" s="10"/>
      <c r="AF274" s="10"/>
      <c r="AG274" s="10"/>
      <c r="AH274" s="10"/>
      <c r="AI274" s="10"/>
      <c r="AJ274" s="10"/>
      <c r="AK274" s="10"/>
      <c r="AL274" s="10"/>
      <c r="AM274" s="10"/>
      <c r="AN274" s="10"/>
      <c r="AO274" s="10"/>
    </row>
    <row r="275" spans="1:41" ht="11.25" customHeight="1">
      <c r="A275" s="35"/>
      <c r="B275" s="31"/>
      <c r="C275" s="31"/>
      <c r="E275" s="10"/>
      <c r="I275" s="10"/>
      <c r="J275" s="18"/>
      <c r="K275" s="10"/>
      <c r="L275" s="10"/>
      <c r="M275" s="10"/>
      <c r="N275" s="10"/>
      <c r="O275" s="10"/>
      <c r="P275" s="10"/>
      <c r="S275" s="10"/>
      <c r="T275" s="10"/>
      <c r="U275" s="10"/>
      <c r="V275" s="10"/>
      <c r="W275" s="10"/>
      <c r="X275" s="10"/>
      <c r="Y275" s="98"/>
      <c r="Z275" s="98"/>
      <c r="AA275" s="98"/>
      <c r="AB275" s="98"/>
      <c r="AC275" s="98"/>
      <c r="AD275" s="10"/>
      <c r="AE275" s="10"/>
      <c r="AF275" s="10"/>
      <c r="AG275" s="10"/>
      <c r="AH275" s="10"/>
      <c r="AI275" s="10"/>
      <c r="AJ275" s="10"/>
      <c r="AK275" s="10"/>
      <c r="AL275" s="10"/>
      <c r="AM275" s="10"/>
      <c r="AN275" s="10"/>
      <c r="AO275" s="10"/>
    </row>
    <row r="276" spans="1:41" ht="11.25" customHeight="1">
      <c r="A276" s="35"/>
      <c r="B276" s="31"/>
      <c r="C276" s="31"/>
      <c r="E276" s="10"/>
      <c r="I276" s="10"/>
      <c r="J276" s="18"/>
      <c r="K276" s="10"/>
      <c r="L276" s="10"/>
      <c r="M276" s="10"/>
      <c r="N276" s="10"/>
      <c r="O276" s="10"/>
      <c r="P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row>
    <row r="277" spans="1:41" ht="11.25" customHeight="1">
      <c r="A277" s="35"/>
      <c r="B277" s="31"/>
      <c r="C277" s="31"/>
      <c r="E277" s="10"/>
      <c r="I277" s="10"/>
      <c r="J277" s="18"/>
      <c r="K277" s="10"/>
      <c r="L277" s="10"/>
      <c r="M277" s="10"/>
      <c r="N277" s="10"/>
      <c r="O277" s="10"/>
      <c r="P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row>
    <row r="278" spans="1:41" ht="11.25" customHeight="1">
      <c r="A278" s="35"/>
      <c r="B278" s="31"/>
      <c r="C278" s="31"/>
      <c r="E278" s="10"/>
      <c r="I278" s="10"/>
      <c r="J278" s="18"/>
      <c r="K278" s="10"/>
      <c r="L278" s="10"/>
      <c r="M278" s="10"/>
      <c r="N278" s="10"/>
      <c r="O278" s="10"/>
      <c r="P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row>
    <row r="279" spans="1:41" ht="11.25" customHeight="1">
      <c r="A279" s="35"/>
      <c r="B279" s="31"/>
      <c r="C279" s="31"/>
      <c r="E279" s="10"/>
      <c r="I279" s="10"/>
      <c r="J279" s="18"/>
      <c r="K279" s="10"/>
      <c r="L279" s="10"/>
      <c r="M279" s="10"/>
      <c r="N279" s="10"/>
      <c r="O279" s="10"/>
      <c r="P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row>
    <row r="280" spans="1:41" ht="11.25" customHeight="1">
      <c r="A280" s="35"/>
      <c r="B280" s="31"/>
      <c r="C280" s="31"/>
      <c r="E280" s="10"/>
      <c r="I280" s="10"/>
      <c r="J280" s="18"/>
      <c r="K280" s="10"/>
      <c r="L280" s="10"/>
      <c r="M280" s="10"/>
      <c r="N280" s="10"/>
      <c r="O280" s="10"/>
      <c r="P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row>
    <row r="281" spans="1:41" ht="11.25" customHeight="1">
      <c r="A281" s="35"/>
      <c r="B281" s="31"/>
      <c r="C281" s="31"/>
      <c r="E281" s="10"/>
      <c r="I281" s="10"/>
      <c r="J281" s="18"/>
      <c r="K281" s="10"/>
      <c r="L281" s="10"/>
      <c r="M281" s="10"/>
      <c r="N281" s="10"/>
      <c r="O281" s="10"/>
      <c r="P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row>
    <row r="282" spans="1:41" ht="11.25" customHeight="1">
      <c r="A282" s="35"/>
      <c r="B282" s="31"/>
      <c r="C282" s="31"/>
      <c r="E282" s="10"/>
      <c r="I282" s="10"/>
      <c r="J282" s="18"/>
      <c r="K282" s="10"/>
      <c r="L282" s="10"/>
      <c r="M282" s="10"/>
      <c r="N282" s="10"/>
      <c r="O282" s="10"/>
      <c r="P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row>
    <row r="283" spans="1:41" ht="11.25" customHeight="1">
      <c r="A283" s="35"/>
      <c r="B283" s="31"/>
      <c r="C283" s="31"/>
      <c r="E283" s="10"/>
      <c r="I283" s="10"/>
      <c r="J283" s="18"/>
      <c r="K283" s="10"/>
      <c r="L283" s="10"/>
      <c r="M283" s="10"/>
      <c r="N283" s="10"/>
      <c r="O283" s="10"/>
      <c r="P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row>
    <row r="284" spans="1:41" ht="11.25" customHeight="1">
      <c r="A284" s="35"/>
      <c r="B284" s="31"/>
      <c r="C284" s="31"/>
      <c r="E284" s="10"/>
      <c r="I284" s="10"/>
      <c r="J284" s="18"/>
      <c r="K284" s="10"/>
      <c r="L284" s="10"/>
      <c r="M284" s="10"/>
      <c r="N284" s="10"/>
      <c r="O284" s="10"/>
      <c r="P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row>
    <row r="285" spans="1:41" ht="11.25" customHeight="1">
      <c r="A285" s="35"/>
      <c r="B285" s="31"/>
      <c r="C285" s="31"/>
      <c r="E285" s="10"/>
      <c r="I285" s="10"/>
      <c r="J285" s="18"/>
      <c r="K285" s="10"/>
      <c r="L285" s="10"/>
      <c r="M285" s="10"/>
      <c r="N285" s="10"/>
      <c r="O285" s="10"/>
      <c r="P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row>
    <row r="286" spans="1:41" ht="11.25" customHeight="1">
      <c r="A286" s="35"/>
      <c r="B286" s="31"/>
      <c r="C286" s="31"/>
      <c r="E286" s="10"/>
      <c r="I286" s="10"/>
      <c r="J286" s="18"/>
      <c r="K286" s="10"/>
      <c r="L286" s="10"/>
      <c r="M286" s="10"/>
      <c r="N286" s="10"/>
      <c r="O286" s="10"/>
      <c r="P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row>
    <row r="287" spans="1:41" ht="11.25" customHeight="1">
      <c r="A287" s="35"/>
      <c r="B287" s="31"/>
      <c r="C287" s="31"/>
      <c r="E287" s="10"/>
      <c r="I287" s="10"/>
      <c r="J287" s="18"/>
      <c r="K287" s="10"/>
      <c r="L287" s="10"/>
      <c r="M287" s="10"/>
      <c r="N287" s="10"/>
      <c r="O287" s="10"/>
      <c r="P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row>
    <row r="288" spans="1:41" ht="11.25" customHeight="1">
      <c r="A288" s="35"/>
      <c r="B288" s="31"/>
      <c r="C288" s="31"/>
      <c r="E288" s="10"/>
      <c r="I288" s="10"/>
      <c r="J288" s="18"/>
      <c r="K288" s="10"/>
      <c r="L288" s="10"/>
      <c r="M288" s="10"/>
      <c r="N288" s="10"/>
      <c r="O288" s="10"/>
      <c r="P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row>
    <row r="289" spans="1:41" ht="11.25" customHeight="1">
      <c r="A289" s="35"/>
      <c r="B289" s="31"/>
      <c r="C289" s="31"/>
      <c r="E289" s="10"/>
      <c r="I289" s="10"/>
      <c r="J289" s="18"/>
      <c r="K289" s="10"/>
      <c r="L289" s="10"/>
      <c r="M289" s="10"/>
      <c r="N289" s="10"/>
      <c r="O289" s="10"/>
      <c r="P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row>
    <row r="290" spans="1:41" ht="11.25" customHeight="1">
      <c r="A290" s="35"/>
      <c r="B290" s="31"/>
      <c r="C290" s="31"/>
      <c r="E290" s="10"/>
      <c r="I290" s="10"/>
      <c r="J290" s="18"/>
      <c r="K290" s="10"/>
      <c r="L290" s="10"/>
      <c r="M290" s="10"/>
      <c r="N290" s="10"/>
      <c r="O290" s="10"/>
      <c r="P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row>
    <row r="291" spans="1:41" ht="11.25" customHeight="1">
      <c r="A291" s="35"/>
      <c r="B291" s="31"/>
      <c r="C291" s="31"/>
      <c r="E291" s="10"/>
      <c r="I291" s="10"/>
      <c r="J291" s="18"/>
      <c r="K291" s="10"/>
      <c r="L291" s="10"/>
      <c r="M291" s="10"/>
      <c r="N291" s="10"/>
      <c r="O291" s="10"/>
      <c r="P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row>
    <row r="292" spans="1:41" ht="11.25" customHeight="1">
      <c r="A292" s="35"/>
      <c r="B292" s="31"/>
      <c r="C292" s="31"/>
      <c r="E292" s="10"/>
      <c r="I292" s="10"/>
      <c r="J292" s="18"/>
      <c r="K292" s="10"/>
      <c r="L292" s="10"/>
      <c r="M292" s="10"/>
      <c r="N292" s="10"/>
      <c r="O292" s="10"/>
      <c r="P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row>
    <row r="293" spans="1:41" ht="11.25" customHeight="1">
      <c r="A293" s="35"/>
      <c r="B293" s="31"/>
      <c r="C293" s="31"/>
      <c r="E293" s="10"/>
      <c r="I293" s="10"/>
      <c r="J293" s="18"/>
      <c r="K293" s="10"/>
      <c r="L293" s="10"/>
      <c r="M293" s="10"/>
      <c r="N293" s="10"/>
      <c r="O293" s="10"/>
      <c r="P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row>
    <row r="294" spans="1:41" ht="11.25" customHeight="1">
      <c r="A294" s="35"/>
      <c r="B294" s="31"/>
      <c r="C294" s="31"/>
      <c r="E294" s="10"/>
      <c r="I294" s="10"/>
      <c r="J294" s="18"/>
      <c r="K294" s="10"/>
      <c r="L294" s="10"/>
      <c r="M294" s="10"/>
      <c r="N294" s="10"/>
      <c r="O294" s="10"/>
      <c r="P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row>
    <row r="295" spans="1:41" ht="11.25" customHeight="1">
      <c r="A295" s="35"/>
      <c r="B295" s="31"/>
      <c r="C295" s="31"/>
      <c r="E295" s="10"/>
      <c r="I295" s="10"/>
      <c r="J295" s="18"/>
      <c r="K295" s="10"/>
      <c r="L295" s="10"/>
      <c r="M295" s="10"/>
      <c r="N295" s="10"/>
      <c r="O295" s="10"/>
      <c r="P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row>
    <row r="296" spans="1:41" ht="11.25" customHeight="1">
      <c r="A296" s="35"/>
      <c r="B296" s="31"/>
      <c r="C296" s="31"/>
      <c r="E296" s="10"/>
      <c r="I296" s="10"/>
      <c r="J296" s="18"/>
      <c r="K296" s="10"/>
      <c r="L296" s="10"/>
      <c r="M296" s="10"/>
      <c r="N296" s="10"/>
      <c r="O296" s="10"/>
      <c r="P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row>
    <row r="297" spans="1:41" ht="11.25" customHeight="1">
      <c r="A297" s="35"/>
      <c r="B297" s="31"/>
      <c r="C297" s="31"/>
      <c r="E297" s="10"/>
      <c r="I297" s="10"/>
      <c r="J297" s="18"/>
      <c r="K297" s="10"/>
      <c r="L297" s="10"/>
      <c r="M297" s="10"/>
      <c r="N297" s="10"/>
      <c r="O297" s="10"/>
      <c r="P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row>
    <row r="298" spans="1:41" ht="11.25" customHeight="1">
      <c r="A298" s="35"/>
      <c r="B298" s="31"/>
      <c r="C298" s="31"/>
      <c r="E298" s="10"/>
      <c r="I298" s="10"/>
      <c r="J298" s="18"/>
      <c r="K298" s="10"/>
      <c r="L298" s="10"/>
      <c r="M298" s="10"/>
      <c r="N298" s="10"/>
      <c r="O298" s="10"/>
      <c r="P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row>
    <row r="299" spans="1:41" ht="11.25" customHeight="1">
      <c r="A299" s="35"/>
      <c r="B299" s="31"/>
      <c r="C299" s="31"/>
      <c r="E299" s="10"/>
      <c r="I299" s="10"/>
      <c r="J299" s="18"/>
      <c r="K299" s="10"/>
      <c r="L299" s="10"/>
      <c r="M299" s="10"/>
      <c r="N299" s="10"/>
      <c r="O299" s="10"/>
      <c r="P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row>
    <row r="300" spans="1:41" ht="11.25" customHeight="1">
      <c r="A300" s="35"/>
      <c r="B300" s="31"/>
      <c r="C300" s="31"/>
      <c r="E300" s="10"/>
      <c r="I300" s="10"/>
      <c r="J300" s="18"/>
      <c r="K300" s="10"/>
      <c r="L300" s="10"/>
      <c r="M300" s="10"/>
      <c r="N300" s="10"/>
      <c r="O300" s="10"/>
      <c r="P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row>
    <row r="301" spans="1:41" ht="11.25" customHeight="1">
      <c r="A301" s="35"/>
      <c r="B301" s="31"/>
      <c r="C301" s="31"/>
      <c r="E301" s="10"/>
      <c r="I301" s="10"/>
      <c r="J301" s="18"/>
      <c r="K301" s="10"/>
      <c r="L301" s="10"/>
      <c r="M301" s="10"/>
      <c r="N301" s="10"/>
      <c r="O301" s="10"/>
      <c r="P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row>
    <row r="302" spans="1:41" ht="11.25" customHeight="1">
      <c r="A302" s="35"/>
      <c r="B302" s="31"/>
      <c r="C302" s="31"/>
      <c r="E302" s="10"/>
      <c r="I302" s="10"/>
      <c r="J302" s="18"/>
      <c r="K302" s="10"/>
      <c r="L302" s="10"/>
      <c r="M302" s="10"/>
      <c r="N302" s="10"/>
      <c r="O302" s="10"/>
      <c r="P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row>
    <row r="303" spans="1:41" ht="11.25" customHeight="1">
      <c r="A303" s="35"/>
      <c r="B303" s="31"/>
      <c r="C303" s="31"/>
      <c r="E303" s="10"/>
      <c r="I303" s="10"/>
      <c r="J303" s="18"/>
      <c r="K303" s="10"/>
      <c r="L303" s="10"/>
      <c r="M303" s="10"/>
      <c r="N303" s="10"/>
      <c r="O303" s="10"/>
      <c r="P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row>
    <row r="304" spans="1:41" ht="11.25" customHeight="1">
      <c r="A304" s="35"/>
      <c r="B304" s="31"/>
      <c r="C304" s="31"/>
      <c r="E304" s="10"/>
      <c r="I304" s="10"/>
      <c r="J304" s="18"/>
      <c r="K304" s="10"/>
      <c r="L304" s="10"/>
      <c r="M304" s="10"/>
      <c r="N304" s="10"/>
      <c r="O304" s="10"/>
      <c r="P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row>
    <row r="305" spans="1:41" ht="11.25" customHeight="1">
      <c r="A305" s="35"/>
      <c r="B305" s="31"/>
      <c r="C305" s="31"/>
      <c r="E305" s="10"/>
      <c r="I305" s="10"/>
      <c r="J305" s="18"/>
      <c r="K305" s="10"/>
      <c r="L305" s="10"/>
      <c r="M305" s="10"/>
      <c r="N305" s="10"/>
      <c r="O305" s="10"/>
      <c r="P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row>
    <row r="306" spans="1:41" ht="11.25" customHeight="1">
      <c r="A306" s="35"/>
      <c r="B306" s="31"/>
      <c r="C306" s="31"/>
      <c r="E306" s="10"/>
      <c r="I306" s="10"/>
      <c r="J306" s="18"/>
      <c r="K306" s="10"/>
      <c r="L306" s="10"/>
      <c r="M306" s="10"/>
      <c r="N306" s="10"/>
      <c r="O306" s="10"/>
      <c r="P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row>
    <row r="307" spans="1:41" ht="11.25" customHeight="1">
      <c r="A307" s="35"/>
      <c r="B307" s="31"/>
      <c r="C307" s="31"/>
      <c r="E307" s="10"/>
      <c r="I307" s="10"/>
      <c r="J307" s="18"/>
      <c r="K307" s="10"/>
      <c r="L307" s="10"/>
      <c r="M307" s="10"/>
      <c r="N307" s="10"/>
      <c r="O307" s="10"/>
      <c r="P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row>
    <row r="308" spans="1:41" ht="11.25" customHeight="1">
      <c r="A308" s="35"/>
      <c r="B308" s="31"/>
      <c r="C308" s="31"/>
      <c r="E308" s="10"/>
      <c r="I308" s="10"/>
      <c r="J308" s="18"/>
      <c r="K308" s="10"/>
      <c r="L308" s="10"/>
      <c r="M308" s="10"/>
      <c r="N308" s="10"/>
      <c r="O308" s="10"/>
      <c r="P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row>
    <row r="309" spans="1:41" ht="11.25" customHeight="1">
      <c r="A309" s="35"/>
      <c r="B309" s="31"/>
      <c r="C309" s="31"/>
      <c r="E309" s="10"/>
      <c r="I309" s="10"/>
      <c r="J309" s="18"/>
      <c r="K309" s="10"/>
      <c r="L309" s="10"/>
      <c r="M309" s="10"/>
      <c r="N309" s="10"/>
      <c r="O309" s="10"/>
      <c r="P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row>
    <row r="310" spans="1:41" ht="11.25" customHeight="1">
      <c r="A310" s="35"/>
      <c r="B310" s="31"/>
      <c r="C310" s="31"/>
      <c r="E310" s="10"/>
      <c r="I310" s="10"/>
      <c r="J310" s="18"/>
      <c r="K310" s="10"/>
      <c r="L310" s="10"/>
      <c r="M310" s="10"/>
      <c r="N310" s="10"/>
      <c r="O310" s="10"/>
      <c r="P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row>
    <row r="311" spans="1:41" ht="11.25" customHeight="1">
      <c r="A311" s="35"/>
      <c r="B311" s="31"/>
      <c r="C311" s="31"/>
      <c r="E311" s="10"/>
      <c r="I311" s="10"/>
      <c r="J311" s="18"/>
      <c r="K311" s="10"/>
      <c r="L311" s="10"/>
      <c r="M311" s="10"/>
      <c r="N311" s="10"/>
      <c r="O311" s="10"/>
      <c r="P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row>
    <row r="312" spans="1:41" ht="11.25" customHeight="1">
      <c r="A312" s="35"/>
      <c r="B312" s="31"/>
      <c r="C312" s="31"/>
      <c r="E312" s="10"/>
      <c r="I312" s="10"/>
      <c r="J312" s="18"/>
      <c r="K312" s="10"/>
      <c r="L312" s="10"/>
      <c r="M312" s="10"/>
      <c r="N312" s="10"/>
      <c r="O312" s="10"/>
      <c r="P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row>
    <row r="313" spans="1:41" ht="11.25" customHeight="1">
      <c r="A313" s="35"/>
      <c r="B313" s="31"/>
      <c r="C313" s="31"/>
      <c r="E313" s="10"/>
      <c r="I313" s="10"/>
      <c r="J313" s="18"/>
      <c r="K313" s="10"/>
      <c r="L313" s="10"/>
      <c r="M313" s="10"/>
      <c r="N313" s="10"/>
      <c r="O313" s="10"/>
      <c r="P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row>
    <row r="314" spans="1:41" ht="11.25" customHeight="1">
      <c r="A314" s="35"/>
      <c r="B314" s="31"/>
      <c r="C314" s="31"/>
      <c r="E314" s="10"/>
      <c r="I314" s="10"/>
      <c r="J314" s="18"/>
      <c r="K314" s="10"/>
      <c r="L314" s="10"/>
      <c r="M314" s="10"/>
      <c r="N314" s="10"/>
      <c r="O314" s="10"/>
      <c r="P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row>
    <row r="315" spans="1:41" ht="11.25" customHeight="1">
      <c r="A315" s="35"/>
      <c r="B315" s="31"/>
      <c r="C315" s="31"/>
      <c r="E315" s="10"/>
      <c r="I315" s="10"/>
      <c r="J315" s="18"/>
      <c r="K315" s="10"/>
      <c r="L315" s="10"/>
      <c r="M315" s="10"/>
      <c r="N315" s="10"/>
      <c r="O315" s="10"/>
      <c r="P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row>
    <row r="316" spans="1:41" ht="11.25" customHeight="1">
      <c r="A316" s="35"/>
      <c r="B316" s="31"/>
      <c r="C316" s="31"/>
      <c r="E316" s="10"/>
      <c r="I316" s="10"/>
      <c r="J316" s="18"/>
      <c r="K316" s="10"/>
      <c r="L316" s="10"/>
      <c r="M316" s="10"/>
      <c r="N316" s="10"/>
      <c r="O316" s="10"/>
      <c r="P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row>
    <row r="317" spans="1:41" ht="11.25" customHeight="1">
      <c r="A317" s="35"/>
      <c r="B317" s="31"/>
      <c r="C317" s="31"/>
      <c r="E317" s="10"/>
      <c r="I317" s="10"/>
      <c r="J317" s="18"/>
      <c r="K317" s="10"/>
      <c r="L317" s="10"/>
      <c r="M317" s="10"/>
      <c r="N317" s="10"/>
      <c r="O317" s="10"/>
      <c r="P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row>
    <row r="318" spans="1:41" ht="11.25" customHeight="1">
      <c r="A318" s="35"/>
      <c r="B318" s="31"/>
      <c r="C318" s="31"/>
      <c r="E318" s="10"/>
      <c r="I318" s="10"/>
      <c r="J318" s="18"/>
      <c r="K318" s="10"/>
      <c r="L318" s="10"/>
      <c r="M318" s="10"/>
      <c r="N318" s="10"/>
      <c r="O318" s="10"/>
      <c r="P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row>
    <row r="319" spans="1:41" ht="11.25" customHeight="1">
      <c r="A319" s="35"/>
      <c r="B319" s="31"/>
      <c r="C319" s="31"/>
      <c r="E319" s="10"/>
      <c r="I319" s="10"/>
      <c r="J319" s="18"/>
      <c r="K319" s="10"/>
      <c r="L319" s="10"/>
      <c r="M319" s="10"/>
      <c r="N319" s="10"/>
      <c r="O319" s="10"/>
      <c r="P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row>
    <row r="320" spans="1:41" ht="11.25" customHeight="1">
      <c r="A320" s="35"/>
      <c r="B320" s="31"/>
      <c r="C320" s="31"/>
      <c r="E320" s="10"/>
      <c r="I320" s="10"/>
      <c r="J320" s="18"/>
      <c r="K320" s="10"/>
      <c r="L320" s="10"/>
      <c r="M320" s="10"/>
      <c r="N320" s="10"/>
      <c r="O320" s="10"/>
      <c r="P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row>
    <row r="321" spans="1:41" ht="11.25" customHeight="1">
      <c r="A321" s="35"/>
      <c r="B321" s="31"/>
      <c r="C321" s="31"/>
      <c r="E321" s="10"/>
      <c r="I321" s="10"/>
      <c r="J321" s="18"/>
      <c r="K321" s="10"/>
      <c r="L321" s="10"/>
      <c r="M321" s="10"/>
      <c r="N321" s="10"/>
      <c r="O321" s="10"/>
      <c r="P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row>
    <row r="322" spans="1:41" ht="11.25" customHeight="1">
      <c r="A322" s="35"/>
      <c r="B322" s="31"/>
      <c r="C322" s="31"/>
      <c r="E322" s="10"/>
      <c r="I322" s="10"/>
      <c r="J322" s="18"/>
      <c r="K322" s="10"/>
      <c r="L322" s="10"/>
      <c r="M322" s="10"/>
      <c r="N322" s="10"/>
      <c r="O322" s="10"/>
      <c r="P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row>
    <row r="323" spans="1:41" ht="11.25" customHeight="1">
      <c r="A323" s="35"/>
      <c r="B323" s="31"/>
      <c r="C323" s="31"/>
      <c r="E323" s="10"/>
      <c r="I323" s="10"/>
      <c r="J323" s="18"/>
      <c r="K323" s="10"/>
      <c r="L323" s="10"/>
      <c r="M323" s="10"/>
      <c r="N323" s="10"/>
      <c r="O323" s="10"/>
      <c r="P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row>
    <row r="324" spans="1:41" ht="11.25" customHeight="1">
      <c r="A324" s="35"/>
      <c r="B324" s="31"/>
      <c r="C324" s="31"/>
      <c r="E324" s="10"/>
      <c r="I324" s="10"/>
      <c r="J324" s="18"/>
      <c r="K324" s="10"/>
      <c r="L324" s="10"/>
      <c r="M324" s="10"/>
      <c r="N324" s="10"/>
      <c r="O324" s="10"/>
      <c r="P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row>
    <row r="325" spans="1:41" ht="11.25" customHeight="1">
      <c r="A325" s="35"/>
      <c r="B325" s="31"/>
      <c r="C325" s="31"/>
      <c r="E325" s="10"/>
      <c r="I325" s="10"/>
      <c r="J325" s="18"/>
      <c r="K325" s="10"/>
      <c r="L325" s="10"/>
      <c r="M325" s="10"/>
      <c r="N325" s="10"/>
      <c r="O325" s="10"/>
      <c r="P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row>
    <row r="326" spans="1:41" ht="11.25" customHeight="1">
      <c r="A326" s="35"/>
      <c r="B326" s="31"/>
      <c r="C326" s="31"/>
      <c r="E326" s="10"/>
      <c r="I326" s="10"/>
      <c r="J326" s="18"/>
      <c r="K326" s="10"/>
      <c r="L326" s="10"/>
      <c r="M326" s="10"/>
      <c r="N326" s="10"/>
      <c r="O326" s="10"/>
      <c r="P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row>
    <row r="327" spans="1:41" ht="11.25" customHeight="1">
      <c r="A327" s="35"/>
      <c r="B327" s="31"/>
      <c r="C327" s="31"/>
      <c r="E327" s="10"/>
      <c r="I327" s="10"/>
      <c r="J327" s="18"/>
      <c r="K327" s="10"/>
      <c r="L327" s="10"/>
      <c r="M327" s="10"/>
      <c r="N327" s="10"/>
      <c r="O327" s="10"/>
      <c r="P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row>
    <row r="328" spans="1:41" ht="11.25" customHeight="1">
      <c r="A328" s="35"/>
      <c r="B328" s="31"/>
      <c r="C328" s="31"/>
      <c r="E328" s="10"/>
      <c r="I328" s="10"/>
      <c r="J328" s="18"/>
      <c r="K328" s="10"/>
      <c r="L328" s="10"/>
      <c r="M328" s="10"/>
      <c r="N328" s="10"/>
      <c r="O328" s="10"/>
      <c r="P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row>
    <row r="329" spans="1:41" ht="11.25" customHeight="1">
      <c r="A329" s="35"/>
      <c r="B329" s="31"/>
      <c r="C329" s="31"/>
      <c r="E329" s="10"/>
      <c r="I329" s="10"/>
      <c r="J329" s="18"/>
      <c r="K329" s="10"/>
      <c r="L329" s="10"/>
      <c r="M329" s="10"/>
      <c r="N329" s="10"/>
      <c r="O329" s="10"/>
      <c r="P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row>
    <row r="330" spans="1:41" ht="11.25" customHeight="1">
      <c r="A330" s="35"/>
      <c r="B330" s="31"/>
      <c r="C330" s="31"/>
      <c r="E330" s="10"/>
      <c r="I330" s="10"/>
      <c r="J330" s="18"/>
      <c r="K330" s="10"/>
      <c r="L330" s="10"/>
      <c r="M330" s="10"/>
      <c r="N330" s="10"/>
      <c r="O330" s="10"/>
      <c r="P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row>
    <row r="331" spans="1:41" ht="11.25" customHeight="1">
      <c r="A331" s="35"/>
      <c r="B331" s="31"/>
      <c r="C331" s="31"/>
      <c r="E331" s="10"/>
      <c r="I331" s="10"/>
      <c r="J331" s="18"/>
      <c r="K331" s="10"/>
      <c r="L331" s="10"/>
      <c r="M331" s="10"/>
      <c r="N331" s="10"/>
      <c r="O331" s="10"/>
      <c r="P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row>
    <row r="332" spans="1:41" ht="11.25" customHeight="1">
      <c r="A332" s="35"/>
      <c r="B332" s="31"/>
      <c r="C332" s="31"/>
      <c r="E332" s="10"/>
      <c r="I332" s="10"/>
      <c r="J332" s="18"/>
      <c r="K332" s="10"/>
      <c r="L332" s="10"/>
      <c r="M332" s="10"/>
      <c r="N332" s="10"/>
      <c r="O332" s="10"/>
      <c r="P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row>
    <row r="333" spans="1:41" ht="11.25" customHeight="1">
      <c r="A333" s="35"/>
      <c r="B333" s="31"/>
      <c r="C333" s="31"/>
      <c r="E333" s="10"/>
      <c r="I333" s="10"/>
      <c r="J333" s="18"/>
      <c r="K333" s="10"/>
      <c r="L333" s="10"/>
      <c r="M333" s="10"/>
      <c r="N333" s="10"/>
      <c r="O333" s="10"/>
      <c r="P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row>
    <row r="334" spans="1:41" ht="11.25" customHeight="1">
      <c r="A334" s="35"/>
      <c r="B334" s="31"/>
      <c r="C334" s="31"/>
      <c r="E334" s="10"/>
      <c r="I334" s="10"/>
      <c r="J334" s="18"/>
      <c r="K334" s="10"/>
      <c r="L334" s="10"/>
      <c r="M334" s="10"/>
      <c r="N334" s="10"/>
      <c r="O334" s="10"/>
      <c r="P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row>
    <row r="335" spans="1:41" ht="11.25" customHeight="1">
      <c r="A335" s="35"/>
      <c r="B335" s="31"/>
      <c r="C335" s="31"/>
      <c r="E335" s="10"/>
      <c r="I335" s="10"/>
      <c r="J335" s="18"/>
      <c r="K335" s="10"/>
      <c r="L335" s="10"/>
      <c r="M335" s="10"/>
      <c r="N335" s="10"/>
      <c r="O335" s="10"/>
      <c r="P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row>
    <row r="336" spans="1:41" ht="11.25" customHeight="1">
      <c r="A336" s="35"/>
      <c r="B336" s="31"/>
      <c r="C336" s="31"/>
      <c r="E336" s="10"/>
      <c r="I336" s="10"/>
      <c r="J336" s="18"/>
      <c r="K336" s="10"/>
      <c r="L336" s="10"/>
      <c r="M336" s="10"/>
      <c r="N336" s="10"/>
      <c r="O336" s="10"/>
      <c r="P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row>
    <row r="337" spans="1:41" ht="11.25" customHeight="1">
      <c r="A337" s="35"/>
      <c r="B337" s="31"/>
      <c r="C337" s="31"/>
      <c r="E337" s="10"/>
      <c r="I337" s="10"/>
      <c r="J337" s="18"/>
      <c r="K337" s="10"/>
      <c r="L337" s="10"/>
      <c r="M337" s="10"/>
      <c r="N337" s="10"/>
      <c r="O337" s="10"/>
      <c r="P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row>
    <row r="338" spans="1:41" ht="11.25" customHeight="1">
      <c r="A338" s="35"/>
      <c r="B338" s="31"/>
      <c r="C338" s="31"/>
      <c r="E338" s="10"/>
      <c r="I338" s="10"/>
      <c r="J338" s="18"/>
      <c r="K338" s="10"/>
      <c r="L338" s="10"/>
      <c r="M338" s="10"/>
      <c r="N338" s="10"/>
      <c r="O338" s="10"/>
      <c r="P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row>
    <row r="339" spans="1:41" ht="11.25" customHeight="1">
      <c r="A339" s="35"/>
      <c r="B339" s="31"/>
      <c r="C339" s="31"/>
      <c r="E339" s="10"/>
      <c r="I339" s="10"/>
      <c r="J339" s="18"/>
      <c r="K339" s="10"/>
      <c r="L339" s="10"/>
      <c r="M339" s="10"/>
      <c r="N339" s="10"/>
      <c r="O339" s="10"/>
      <c r="P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row>
    <row r="340" spans="1:41" ht="11.25" customHeight="1">
      <c r="A340" s="35"/>
      <c r="B340" s="31"/>
      <c r="C340" s="31"/>
      <c r="E340" s="10"/>
      <c r="I340" s="10"/>
      <c r="J340" s="18"/>
      <c r="K340" s="10"/>
      <c r="L340" s="10"/>
      <c r="M340" s="10"/>
      <c r="N340" s="10"/>
      <c r="O340" s="10"/>
      <c r="P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row>
    <row r="341" spans="1:41" ht="11.25" customHeight="1">
      <c r="A341" s="35"/>
      <c r="B341" s="31"/>
      <c r="C341" s="31"/>
      <c r="E341" s="10"/>
      <c r="I341" s="10"/>
      <c r="J341" s="18"/>
      <c r="K341" s="10"/>
      <c r="L341" s="10"/>
      <c r="M341" s="10"/>
      <c r="N341" s="10"/>
      <c r="O341" s="10"/>
      <c r="P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row>
    <row r="342" spans="1:41" ht="11.25" customHeight="1">
      <c r="A342" s="35"/>
      <c r="B342" s="31"/>
      <c r="C342" s="31"/>
      <c r="E342" s="10"/>
      <c r="I342" s="10"/>
      <c r="J342" s="18"/>
      <c r="K342" s="10"/>
      <c r="L342" s="10"/>
      <c r="M342" s="10"/>
      <c r="N342" s="10"/>
      <c r="O342" s="10"/>
      <c r="P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row>
    <row r="343" spans="1:41" ht="11.25" customHeight="1">
      <c r="A343" s="35"/>
      <c r="B343" s="31"/>
      <c r="C343" s="31"/>
      <c r="E343" s="10"/>
      <c r="I343" s="10"/>
      <c r="J343" s="18"/>
      <c r="K343" s="10"/>
      <c r="L343" s="10"/>
      <c r="M343" s="10"/>
      <c r="N343" s="10"/>
      <c r="O343" s="10"/>
      <c r="P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row>
    <row r="344" spans="1:41" ht="11.25" customHeight="1">
      <c r="A344" s="35"/>
      <c r="B344" s="31"/>
      <c r="C344" s="31"/>
      <c r="E344" s="10"/>
      <c r="I344" s="10"/>
      <c r="J344" s="18"/>
      <c r="K344" s="10"/>
      <c r="L344" s="10"/>
      <c r="M344" s="10"/>
      <c r="N344" s="10"/>
      <c r="O344" s="10"/>
      <c r="P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row>
    <row r="345" spans="1:41" ht="11.25" customHeight="1">
      <c r="A345" s="35"/>
      <c r="B345" s="31"/>
      <c r="C345" s="31"/>
      <c r="E345" s="10"/>
      <c r="I345" s="10"/>
      <c r="J345" s="18"/>
      <c r="K345" s="10"/>
      <c r="L345" s="10"/>
      <c r="M345" s="10"/>
      <c r="N345" s="10"/>
      <c r="O345" s="10"/>
      <c r="P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row>
    <row r="346" spans="1:41" ht="11.25" customHeight="1">
      <c r="A346" s="35"/>
      <c r="B346" s="31"/>
      <c r="C346" s="31"/>
      <c r="E346" s="10"/>
      <c r="I346" s="10"/>
      <c r="J346" s="18"/>
      <c r="K346" s="10"/>
      <c r="L346" s="10"/>
      <c r="M346" s="10"/>
      <c r="N346" s="10"/>
      <c r="O346" s="10"/>
      <c r="P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row>
    <row r="347" spans="1:41" ht="11.25" customHeight="1">
      <c r="A347" s="35"/>
      <c r="B347" s="31"/>
      <c r="C347" s="31"/>
      <c r="E347" s="10"/>
      <c r="I347" s="10"/>
      <c r="J347" s="18"/>
      <c r="K347" s="10"/>
      <c r="L347" s="10"/>
      <c r="M347" s="10"/>
      <c r="N347" s="10"/>
      <c r="O347" s="10"/>
      <c r="P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row>
    <row r="348" spans="1:41" ht="11.25" customHeight="1">
      <c r="A348" s="35"/>
      <c r="B348" s="31"/>
      <c r="C348" s="31"/>
      <c r="E348" s="10"/>
      <c r="I348" s="10"/>
      <c r="J348" s="18"/>
      <c r="K348" s="10"/>
      <c r="L348" s="10"/>
      <c r="M348" s="10"/>
      <c r="N348" s="10"/>
      <c r="O348" s="10"/>
      <c r="P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row>
    <row r="349" spans="1:41" ht="11.25" customHeight="1">
      <c r="A349" s="35"/>
      <c r="B349" s="31"/>
      <c r="C349" s="31"/>
      <c r="E349" s="10"/>
      <c r="I349" s="10"/>
      <c r="J349" s="18"/>
      <c r="K349" s="10"/>
      <c r="L349" s="10"/>
      <c r="M349" s="10"/>
      <c r="N349" s="10"/>
      <c r="O349" s="10"/>
      <c r="P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row>
    <row r="350" spans="1:41" ht="11.25" customHeight="1">
      <c r="A350" s="35"/>
      <c r="B350" s="31"/>
      <c r="C350" s="31"/>
      <c r="E350" s="10"/>
      <c r="I350" s="10"/>
      <c r="J350" s="18"/>
      <c r="K350" s="10"/>
      <c r="L350" s="10"/>
      <c r="M350" s="10"/>
      <c r="N350" s="10"/>
      <c r="O350" s="10"/>
      <c r="P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row>
    <row r="351" spans="1:41" ht="11.25" customHeight="1">
      <c r="A351" s="35"/>
      <c r="B351" s="31"/>
      <c r="C351" s="31"/>
      <c r="E351" s="10"/>
      <c r="I351" s="10"/>
      <c r="J351" s="18"/>
      <c r="K351" s="10"/>
      <c r="L351" s="10"/>
      <c r="M351" s="10"/>
      <c r="N351" s="10"/>
      <c r="O351" s="10"/>
      <c r="P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row>
    <row r="352" spans="1:41" ht="11.25" customHeight="1">
      <c r="A352" s="35"/>
      <c r="B352" s="31"/>
      <c r="C352" s="31"/>
      <c r="E352" s="10"/>
      <c r="I352" s="10"/>
      <c r="J352" s="18"/>
      <c r="K352" s="10"/>
      <c r="L352" s="10"/>
      <c r="M352" s="10"/>
      <c r="N352" s="10"/>
      <c r="O352" s="10"/>
      <c r="P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row>
    <row r="353" spans="1:41" ht="11.25" customHeight="1">
      <c r="A353" s="35"/>
      <c r="B353" s="31"/>
      <c r="C353" s="31"/>
      <c r="E353" s="10"/>
      <c r="I353" s="10"/>
      <c r="J353" s="18"/>
      <c r="K353" s="10"/>
      <c r="L353" s="10"/>
      <c r="M353" s="10"/>
      <c r="N353" s="10"/>
      <c r="O353" s="10"/>
      <c r="P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row>
    <row r="354" spans="1:41" ht="11.25" customHeight="1">
      <c r="A354" s="35"/>
      <c r="B354" s="31"/>
      <c r="C354" s="31"/>
      <c r="E354" s="10"/>
      <c r="I354" s="10"/>
      <c r="J354" s="18"/>
      <c r="K354" s="10"/>
      <c r="L354" s="10"/>
      <c r="M354" s="10"/>
      <c r="N354" s="10"/>
      <c r="O354" s="10"/>
      <c r="P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row>
    <row r="355" spans="1:41" ht="11.25" customHeight="1">
      <c r="A355" s="35"/>
      <c r="B355" s="31"/>
      <c r="C355" s="31"/>
      <c r="E355" s="10"/>
      <c r="I355" s="10"/>
      <c r="J355" s="18"/>
      <c r="K355" s="10"/>
      <c r="L355" s="10"/>
      <c r="M355" s="10"/>
      <c r="N355" s="10"/>
      <c r="O355" s="10"/>
      <c r="P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row>
    <row r="356" spans="1:41" ht="11.25" customHeight="1">
      <c r="A356" s="35"/>
      <c r="B356" s="31"/>
      <c r="C356" s="31"/>
      <c r="E356" s="10"/>
      <c r="I356" s="10"/>
      <c r="J356" s="18"/>
      <c r="K356" s="10"/>
      <c r="L356" s="10"/>
      <c r="M356" s="10"/>
      <c r="N356" s="10"/>
      <c r="O356" s="10"/>
      <c r="P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row>
    <row r="357" spans="1:41" ht="11.25" customHeight="1">
      <c r="A357" s="35"/>
      <c r="B357" s="31"/>
      <c r="C357" s="31"/>
      <c r="E357" s="10"/>
      <c r="I357" s="10"/>
      <c r="J357" s="18"/>
      <c r="K357" s="10"/>
      <c r="L357" s="10"/>
      <c r="M357" s="10"/>
      <c r="N357" s="10"/>
      <c r="O357" s="10"/>
      <c r="P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row>
    <row r="358" spans="1:41" ht="11.25" customHeight="1">
      <c r="A358" s="35"/>
      <c r="B358" s="31"/>
      <c r="C358" s="31"/>
      <c r="E358" s="10"/>
      <c r="I358" s="10"/>
      <c r="J358" s="18"/>
      <c r="K358" s="10"/>
      <c r="L358" s="10"/>
      <c r="M358" s="10"/>
      <c r="N358" s="10"/>
      <c r="O358" s="10"/>
      <c r="P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row>
    <row r="359" spans="1:41" ht="11.25" customHeight="1">
      <c r="A359" s="35"/>
      <c r="B359" s="31"/>
      <c r="C359" s="31"/>
      <c r="E359" s="10"/>
      <c r="I359" s="10"/>
      <c r="J359" s="18"/>
      <c r="K359" s="10"/>
      <c r="L359" s="10"/>
      <c r="M359" s="10"/>
      <c r="N359" s="10"/>
      <c r="O359" s="10"/>
      <c r="P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row>
    <row r="360" spans="1:41" ht="11.25" customHeight="1">
      <c r="A360" s="35"/>
      <c r="B360" s="31"/>
      <c r="C360" s="31"/>
      <c r="E360" s="10"/>
      <c r="I360" s="10"/>
      <c r="J360" s="18"/>
      <c r="K360" s="10"/>
      <c r="L360" s="10"/>
      <c r="M360" s="10"/>
      <c r="N360" s="10"/>
      <c r="O360" s="10"/>
      <c r="P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row>
    <row r="361" spans="1:41" ht="11.25" customHeight="1">
      <c r="A361" s="35"/>
      <c r="B361" s="31"/>
      <c r="C361" s="31"/>
      <c r="E361" s="10"/>
      <c r="I361" s="10"/>
      <c r="J361" s="18"/>
      <c r="K361" s="10"/>
      <c r="L361" s="10"/>
      <c r="M361" s="10"/>
      <c r="N361" s="10"/>
      <c r="O361" s="10"/>
      <c r="P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row>
    <row r="362" spans="1:41" ht="11.25" customHeight="1">
      <c r="A362" s="35"/>
      <c r="B362" s="31"/>
      <c r="C362" s="31"/>
      <c r="E362" s="10"/>
      <c r="I362" s="10"/>
      <c r="J362" s="18"/>
      <c r="K362" s="10"/>
      <c r="L362" s="10"/>
      <c r="M362" s="10"/>
      <c r="N362" s="10"/>
      <c r="O362" s="10"/>
      <c r="P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row>
    <row r="363" spans="1:41" ht="11.25" customHeight="1">
      <c r="A363" s="35"/>
      <c r="B363" s="31"/>
      <c r="C363" s="31"/>
      <c r="E363" s="10"/>
      <c r="I363" s="10"/>
      <c r="J363" s="18"/>
      <c r="K363" s="10"/>
      <c r="L363" s="10"/>
      <c r="M363" s="10"/>
      <c r="N363" s="10"/>
      <c r="O363" s="10"/>
      <c r="P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row>
    <row r="364" spans="1:41" ht="11.25" customHeight="1">
      <c r="A364" s="35"/>
      <c r="B364" s="31"/>
      <c r="C364" s="31"/>
      <c r="E364" s="10"/>
      <c r="I364" s="10"/>
      <c r="J364" s="18"/>
      <c r="K364" s="10"/>
      <c r="L364" s="10"/>
      <c r="M364" s="10"/>
      <c r="N364" s="10"/>
      <c r="O364" s="10"/>
      <c r="P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row>
    <row r="365" spans="1:41" ht="11.25" customHeight="1">
      <c r="A365" s="35"/>
      <c r="B365" s="31"/>
      <c r="C365" s="31"/>
      <c r="E365" s="10"/>
      <c r="I365" s="10"/>
      <c r="J365" s="18"/>
      <c r="K365" s="10"/>
      <c r="L365" s="10"/>
      <c r="M365" s="10"/>
      <c r="N365" s="10"/>
      <c r="O365" s="10"/>
      <c r="P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row>
    <row r="366" spans="1:41" ht="11.25" customHeight="1">
      <c r="A366" s="35"/>
      <c r="B366" s="31"/>
      <c r="C366" s="31"/>
      <c r="E366" s="10"/>
      <c r="I366" s="10"/>
      <c r="J366" s="18"/>
      <c r="K366" s="10"/>
      <c r="L366" s="10"/>
      <c r="M366" s="10"/>
      <c r="N366" s="10"/>
      <c r="O366" s="10"/>
      <c r="P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row>
    <row r="367" spans="1:41" ht="11.25" customHeight="1">
      <c r="A367" s="35"/>
      <c r="B367" s="31"/>
      <c r="C367" s="31"/>
      <c r="E367" s="10"/>
      <c r="I367" s="10"/>
      <c r="J367" s="18"/>
      <c r="K367" s="10"/>
      <c r="L367" s="10"/>
      <c r="M367" s="10"/>
      <c r="N367" s="10"/>
      <c r="O367" s="10"/>
      <c r="P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row>
    <row r="368" spans="1:41" ht="11.25" customHeight="1">
      <c r="A368" s="35"/>
      <c r="B368" s="31"/>
      <c r="C368" s="31"/>
      <c r="E368" s="10"/>
      <c r="I368" s="10"/>
      <c r="J368" s="18"/>
      <c r="K368" s="10"/>
      <c r="L368" s="10"/>
      <c r="M368" s="10"/>
      <c r="N368" s="10"/>
      <c r="O368" s="10"/>
      <c r="P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row>
    <row r="369" spans="1:41" ht="11.25" customHeight="1">
      <c r="A369" s="35"/>
      <c r="B369" s="31"/>
      <c r="C369" s="31"/>
      <c r="E369" s="10"/>
      <c r="I369" s="10"/>
      <c r="J369" s="18"/>
      <c r="K369" s="10"/>
      <c r="L369" s="10"/>
      <c r="M369" s="10"/>
      <c r="N369" s="10"/>
      <c r="O369" s="10"/>
      <c r="P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row>
    <row r="370" spans="1:41" ht="11.25" customHeight="1">
      <c r="A370" s="35"/>
      <c r="B370" s="31"/>
      <c r="C370" s="31"/>
      <c r="E370" s="10"/>
      <c r="I370" s="10"/>
      <c r="J370" s="18"/>
      <c r="K370" s="10"/>
      <c r="L370" s="10"/>
      <c r="M370" s="10"/>
      <c r="N370" s="10"/>
      <c r="O370" s="10"/>
      <c r="P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row>
    <row r="371" spans="1:41" ht="11.25" customHeight="1">
      <c r="A371" s="35"/>
      <c r="B371" s="31"/>
      <c r="C371" s="31"/>
      <c r="E371" s="10"/>
      <c r="I371" s="10"/>
      <c r="J371" s="18"/>
      <c r="K371" s="10"/>
      <c r="L371" s="10"/>
      <c r="M371" s="10"/>
      <c r="N371" s="10"/>
      <c r="O371" s="10"/>
      <c r="P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row>
    <row r="372" spans="1:41" ht="11.25" customHeight="1">
      <c r="A372" s="35"/>
      <c r="B372" s="31"/>
      <c r="C372" s="31"/>
      <c r="E372" s="10"/>
      <c r="I372" s="10"/>
      <c r="J372" s="18"/>
      <c r="K372" s="10"/>
      <c r="L372" s="10"/>
      <c r="M372" s="10"/>
      <c r="N372" s="10"/>
      <c r="O372" s="10"/>
      <c r="P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row>
    <row r="373" spans="1:41" ht="11.25" customHeight="1">
      <c r="A373" s="35"/>
      <c r="B373" s="31"/>
      <c r="C373" s="31"/>
      <c r="E373" s="10"/>
      <c r="I373" s="10"/>
      <c r="J373" s="18"/>
      <c r="K373" s="10"/>
      <c r="L373" s="10"/>
      <c r="M373" s="10"/>
      <c r="N373" s="10"/>
      <c r="O373" s="10"/>
      <c r="P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row>
    <row r="374" spans="1:41" ht="11.25" customHeight="1">
      <c r="A374" s="35"/>
      <c r="B374" s="31"/>
      <c r="C374" s="31"/>
      <c r="E374" s="10"/>
      <c r="I374" s="10"/>
      <c r="J374" s="18"/>
      <c r="K374" s="10"/>
      <c r="L374" s="10"/>
      <c r="M374" s="10"/>
      <c r="N374" s="10"/>
      <c r="O374" s="10"/>
      <c r="P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row>
    <row r="375" spans="1:41" ht="11.25" customHeight="1">
      <c r="A375" s="35"/>
      <c r="B375" s="31"/>
      <c r="C375" s="31"/>
      <c r="E375" s="10"/>
      <c r="I375" s="10"/>
      <c r="J375" s="18"/>
      <c r="K375" s="10"/>
      <c r="L375" s="10"/>
      <c r="M375" s="10"/>
      <c r="N375" s="10"/>
      <c r="O375" s="10"/>
      <c r="P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row>
    <row r="376" spans="1:41" ht="11.25" customHeight="1">
      <c r="A376" s="35"/>
      <c r="B376" s="31"/>
      <c r="K376" s="10"/>
      <c r="L376" s="10"/>
      <c r="M376" s="10"/>
      <c r="N376" s="10"/>
      <c r="O376" s="10"/>
      <c r="P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row>
    <row r="377" spans="1:41" ht="11.25" customHeight="1">
      <c r="A377" s="35"/>
      <c r="B377" s="31"/>
      <c r="K377" s="10"/>
      <c r="L377" s="10"/>
      <c r="M377" s="10"/>
      <c r="N377" s="10"/>
      <c r="O377" s="10"/>
      <c r="P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row>
    <row r="378" spans="1:41" ht="11.25" customHeight="1">
      <c r="A378" s="35"/>
      <c r="B378" s="31"/>
      <c r="K378" s="10"/>
      <c r="L378" s="10"/>
      <c r="M378" s="10"/>
      <c r="N378" s="10"/>
      <c r="O378" s="10"/>
      <c r="P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row>
    <row r="379" spans="1:41" ht="11.25" customHeight="1">
      <c r="A379" s="35"/>
      <c r="B379" s="31"/>
      <c r="K379" s="10"/>
      <c r="L379" s="10"/>
      <c r="M379" s="10"/>
      <c r="N379" s="10"/>
      <c r="O379" s="10"/>
      <c r="P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row>
    <row r="380" spans="1:41" ht="11.25" customHeight="1">
      <c r="A380" s="35"/>
      <c r="B380" s="31"/>
      <c r="K380" s="10"/>
      <c r="L380" s="10"/>
      <c r="M380" s="10"/>
      <c r="N380" s="10"/>
      <c r="O380" s="10"/>
      <c r="P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row>
    <row r="381" spans="1:41" ht="11.25" customHeight="1">
      <c r="A381" s="35"/>
      <c r="B381" s="31"/>
      <c r="K381" s="10"/>
      <c r="L381" s="10"/>
      <c r="M381" s="10"/>
      <c r="N381" s="10"/>
      <c r="O381" s="10"/>
      <c r="P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row>
    <row r="382" spans="1:41" ht="11.25" customHeight="1">
      <c r="A382" s="35"/>
      <c r="B382" s="31"/>
      <c r="K382" s="10"/>
      <c r="L382" s="10"/>
      <c r="M382" s="10"/>
      <c r="N382" s="10"/>
      <c r="O382" s="10"/>
      <c r="P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row>
    <row r="383" spans="1:41" ht="11.25" customHeight="1">
      <c r="A383" s="35"/>
      <c r="B383" s="31"/>
      <c r="K383" s="10"/>
      <c r="L383" s="10"/>
      <c r="M383" s="10"/>
      <c r="N383" s="10"/>
      <c r="O383" s="10"/>
      <c r="P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row>
    <row r="384" spans="1:41" ht="11.25" customHeight="1">
      <c r="A384" s="35"/>
      <c r="B384" s="31"/>
      <c r="K384" s="10"/>
      <c r="L384" s="10"/>
      <c r="M384" s="10"/>
      <c r="N384" s="10"/>
      <c r="O384" s="10"/>
      <c r="P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row>
    <row r="385" spans="1:41" ht="11.25" customHeight="1">
      <c r="A385" s="35"/>
      <c r="B385" s="31"/>
      <c r="K385" s="10"/>
      <c r="L385" s="10"/>
      <c r="M385" s="10"/>
      <c r="N385" s="10"/>
      <c r="O385" s="10"/>
      <c r="P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row>
    <row r="386" spans="1:41" ht="11.25" customHeight="1">
      <c r="A386" s="35"/>
      <c r="B386" s="31"/>
      <c r="K386" s="10"/>
      <c r="L386" s="10"/>
      <c r="M386" s="10"/>
      <c r="N386" s="10"/>
      <c r="O386" s="10"/>
      <c r="P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row>
    <row r="387" spans="1:41" ht="11.25" customHeight="1">
      <c r="A387" s="35"/>
      <c r="B387" s="31"/>
      <c r="K387" s="10"/>
      <c r="L387" s="10"/>
      <c r="M387" s="10"/>
      <c r="N387" s="10"/>
      <c r="O387" s="10"/>
      <c r="P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row>
    <row r="388" spans="1:41" ht="11.25" customHeight="1">
      <c r="A388" s="35"/>
      <c r="B388" s="31"/>
      <c r="K388" s="10"/>
      <c r="L388" s="10"/>
      <c r="M388" s="10"/>
      <c r="N388" s="10"/>
      <c r="O388" s="10"/>
      <c r="P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row>
    <row r="389" spans="1:41" ht="11.25" customHeight="1">
      <c r="A389" s="35"/>
      <c r="B389" s="31"/>
      <c r="K389" s="10"/>
      <c r="L389" s="10"/>
      <c r="M389" s="10"/>
      <c r="N389" s="10"/>
      <c r="O389" s="10"/>
      <c r="P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row>
    <row r="390" spans="1:41" ht="11.25" customHeight="1">
      <c r="A390" s="35"/>
      <c r="B390" s="31"/>
      <c r="K390" s="10"/>
      <c r="L390" s="10"/>
      <c r="M390" s="10"/>
      <c r="N390" s="10"/>
      <c r="O390" s="10"/>
      <c r="P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row>
    <row r="391" spans="1:41" ht="11.25" customHeight="1">
      <c r="A391" s="35"/>
      <c r="B391" s="31"/>
      <c r="K391" s="10"/>
      <c r="L391" s="10"/>
      <c r="M391" s="10"/>
      <c r="N391" s="10"/>
      <c r="O391" s="10"/>
      <c r="P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row>
    <row r="392" spans="1:41" ht="11.25" customHeight="1">
      <c r="A392" s="35"/>
      <c r="B392" s="31"/>
      <c r="K392" s="10"/>
      <c r="L392" s="10"/>
      <c r="M392" s="10"/>
      <c r="N392" s="10"/>
      <c r="O392" s="10"/>
      <c r="P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row>
    <row r="393" spans="1:41" ht="11.25" customHeight="1">
      <c r="A393" s="35"/>
      <c r="B393" s="31"/>
      <c r="K393" s="10"/>
      <c r="L393" s="10"/>
      <c r="M393" s="10"/>
      <c r="N393" s="10"/>
      <c r="O393" s="10"/>
      <c r="P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row>
    <row r="394" spans="1:41" ht="11.25" customHeight="1">
      <c r="A394" s="35"/>
      <c r="B394" s="31"/>
      <c r="K394" s="10"/>
      <c r="L394" s="10"/>
      <c r="M394" s="10"/>
      <c r="N394" s="10"/>
      <c r="O394" s="10"/>
      <c r="P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row>
    <row r="395" spans="1:41" ht="11.25" customHeight="1">
      <c r="A395" s="35"/>
      <c r="B395" s="31"/>
      <c r="K395" s="10"/>
      <c r="L395" s="10"/>
      <c r="M395" s="10"/>
      <c r="N395" s="10"/>
      <c r="O395" s="10"/>
      <c r="P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row>
    <row r="396" spans="1:41" ht="11.25" customHeight="1">
      <c r="A396" s="35"/>
      <c r="B396" s="31"/>
      <c r="K396" s="10"/>
      <c r="L396" s="10"/>
      <c r="M396" s="10"/>
      <c r="N396" s="10"/>
      <c r="O396" s="10"/>
      <c r="P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row>
    <row r="397" spans="1:41" ht="11.25" customHeight="1">
      <c r="A397" s="35"/>
      <c r="B397" s="31"/>
      <c r="K397" s="10"/>
      <c r="L397" s="10"/>
      <c r="M397" s="10"/>
      <c r="N397" s="10"/>
      <c r="O397" s="10"/>
      <c r="P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row>
    <row r="398" spans="1:41" ht="11.25" customHeight="1">
      <c r="A398" s="35"/>
      <c r="B398" s="31"/>
      <c r="K398" s="10"/>
      <c r="L398" s="10"/>
      <c r="M398" s="10"/>
      <c r="N398" s="10"/>
      <c r="O398" s="10"/>
      <c r="P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row>
    <row r="399" spans="1:41" ht="11.25" customHeight="1">
      <c r="A399" s="35"/>
      <c r="B399" s="31"/>
      <c r="K399" s="10"/>
      <c r="L399" s="10"/>
      <c r="M399" s="10"/>
      <c r="N399" s="10"/>
      <c r="O399" s="10"/>
      <c r="P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row>
    <row r="400" spans="1:41" ht="11.25" customHeight="1">
      <c r="A400" s="35"/>
      <c r="B400" s="31"/>
      <c r="K400" s="10"/>
      <c r="L400" s="10"/>
      <c r="M400" s="10"/>
      <c r="N400" s="10"/>
      <c r="O400" s="10"/>
      <c r="P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row>
    <row r="401" spans="1:41" ht="11.25" customHeight="1">
      <c r="A401" s="35"/>
      <c r="B401" s="31"/>
      <c r="K401" s="10"/>
      <c r="L401" s="10"/>
      <c r="M401" s="10"/>
      <c r="N401" s="10"/>
      <c r="O401" s="10"/>
      <c r="P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row>
    <row r="402" spans="1:41" ht="11.25" customHeight="1">
      <c r="A402" s="35"/>
      <c r="B402" s="31"/>
      <c r="K402" s="10"/>
      <c r="L402" s="10"/>
      <c r="M402" s="10"/>
      <c r="N402" s="10"/>
      <c r="O402" s="10"/>
      <c r="P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row>
    <row r="403" spans="1:41" ht="11.25" customHeight="1">
      <c r="A403" s="35"/>
      <c r="B403" s="31"/>
      <c r="K403" s="10"/>
      <c r="L403" s="10"/>
      <c r="M403" s="10"/>
      <c r="N403" s="10"/>
      <c r="O403" s="10"/>
      <c r="P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row>
    <row r="404" ht="11.25" customHeight="1">
      <c r="B404" s="31"/>
    </row>
    <row r="405" ht="11.25" customHeight="1">
      <c r="B405" s="31"/>
    </row>
    <row r="406" ht="11.25" customHeight="1">
      <c r="B406" s="31"/>
    </row>
    <row r="407" ht="11.25" customHeight="1">
      <c r="B407" s="31"/>
    </row>
    <row r="408" ht="11.25" customHeight="1">
      <c r="B408" s="31"/>
    </row>
    <row r="409" ht="11.25" customHeight="1">
      <c r="B409" s="31"/>
    </row>
    <row r="410" ht="11.25" customHeight="1">
      <c r="B410" s="31"/>
    </row>
    <row r="411" ht="11.25" customHeight="1">
      <c r="B411" s="31"/>
    </row>
    <row r="412" ht="11.25" customHeight="1">
      <c r="B412" s="31"/>
    </row>
    <row r="413" ht="11.25" customHeight="1">
      <c r="B413" s="31"/>
    </row>
    <row r="414" ht="11.25" customHeight="1">
      <c r="B414" s="31"/>
    </row>
    <row r="415" ht="11.25" customHeight="1">
      <c r="B415" s="31"/>
    </row>
    <row r="416" ht="11.25" customHeight="1">
      <c r="B416" s="31"/>
    </row>
    <row r="417" ht="11.25" customHeight="1">
      <c r="B417" s="31"/>
    </row>
    <row r="418" ht="11.25" customHeight="1">
      <c r="B418" s="31"/>
    </row>
    <row r="419" ht="11.25" customHeight="1">
      <c r="B419" s="31"/>
    </row>
    <row r="420" ht="11.25" customHeight="1">
      <c r="B420" s="31"/>
    </row>
    <row r="421" ht="11.25" customHeight="1">
      <c r="B421" s="31"/>
    </row>
    <row r="422" ht="11.25" customHeight="1">
      <c r="B422" s="31"/>
    </row>
    <row r="423" ht="11.25" customHeight="1">
      <c r="B423" s="31"/>
    </row>
    <row r="424" ht="11.25" customHeight="1">
      <c r="B424" s="31"/>
    </row>
    <row r="425" ht="11.25" customHeight="1">
      <c r="B425" s="31"/>
    </row>
    <row r="426" ht="11.25" customHeight="1">
      <c r="B426" s="31"/>
    </row>
    <row r="427" ht="11.25" customHeight="1">
      <c r="B427" s="31"/>
    </row>
    <row r="428" ht="11.25" customHeight="1">
      <c r="B428" s="31"/>
    </row>
    <row r="429" ht="11.25" customHeight="1">
      <c r="B429" s="31"/>
    </row>
    <row r="430" ht="11.25" customHeight="1">
      <c r="B430" s="31"/>
    </row>
    <row r="431" ht="11.25" customHeight="1">
      <c r="B431" s="31"/>
    </row>
    <row r="432" ht="11.25" customHeight="1">
      <c r="B432" s="31"/>
    </row>
    <row r="433" ht="11.25" customHeight="1">
      <c r="B433" s="31"/>
    </row>
    <row r="434" ht="11.25" customHeight="1">
      <c r="B434" s="31"/>
    </row>
    <row r="435" ht="11.25" customHeight="1">
      <c r="B435" s="31"/>
    </row>
    <row r="436" ht="11.25" customHeight="1">
      <c r="B436" s="31"/>
    </row>
    <row r="437" ht="11.25" customHeight="1">
      <c r="B437" s="31"/>
    </row>
    <row r="438" ht="11.25" customHeight="1">
      <c r="B438" s="31"/>
    </row>
    <row r="439" ht="11.25" customHeight="1">
      <c r="B439" s="31"/>
    </row>
    <row r="440" ht="11.25" customHeight="1">
      <c r="B440" s="31"/>
    </row>
    <row r="441" ht="11.25" customHeight="1">
      <c r="B441" s="31"/>
    </row>
    <row r="442" ht="11.25" customHeight="1">
      <c r="B442" s="31"/>
    </row>
    <row r="443" ht="11.25" customHeight="1">
      <c r="B443" s="31"/>
    </row>
    <row r="444" ht="11.25" customHeight="1">
      <c r="B444" s="31"/>
    </row>
    <row r="445" ht="11.25" customHeight="1">
      <c r="B445" s="31"/>
    </row>
    <row r="446" ht="11.25" customHeight="1">
      <c r="B446" s="31"/>
    </row>
    <row r="447" ht="11.25" customHeight="1">
      <c r="B447" s="31"/>
    </row>
    <row r="448" ht="11.25" customHeight="1">
      <c r="B448" s="31"/>
    </row>
    <row r="449" ht="11.25" customHeight="1">
      <c r="B449" s="31"/>
    </row>
    <row r="450" ht="11.25" customHeight="1">
      <c r="B450" s="31"/>
    </row>
    <row r="451" ht="11.25" customHeight="1">
      <c r="B451" s="31"/>
    </row>
    <row r="452" ht="11.25" customHeight="1">
      <c r="B452" s="31"/>
    </row>
    <row r="453" ht="11.25" customHeight="1">
      <c r="B453" s="31"/>
    </row>
    <row r="454" ht="11.25" customHeight="1">
      <c r="B454" s="31"/>
    </row>
    <row r="455" ht="11.25" customHeight="1">
      <c r="B455" s="31"/>
    </row>
    <row r="456" ht="11.25" customHeight="1">
      <c r="B456" s="31"/>
    </row>
    <row r="457" ht="11.25" customHeight="1">
      <c r="B457" s="31"/>
    </row>
    <row r="458" ht="11.25" customHeight="1">
      <c r="B458" s="31"/>
    </row>
    <row r="459" ht="11.25" customHeight="1">
      <c r="B459" s="31"/>
    </row>
    <row r="460" ht="11.25" customHeight="1">
      <c r="B460" s="31"/>
    </row>
    <row r="461" ht="11.25" customHeight="1">
      <c r="B461" s="31"/>
    </row>
    <row r="462" ht="11.25" customHeight="1">
      <c r="B462" s="31"/>
    </row>
    <row r="463" ht="11.25" customHeight="1">
      <c r="B463" s="31"/>
    </row>
    <row r="464" ht="11.25" customHeight="1">
      <c r="B464" s="31"/>
    </row>
    <row r="465" ht="11.25" customHeight="1">
      <c r="B465" s="31"/>
    </row>
    <row r="466" ht="11.25" customHeight="1">
      <c r="B466" s="31"/>
    </row>
    <row r="467" ht="11.25" customHeight="1">
      <c r="B467" s="31"/>
    </row>
    <row r="468" ht="11.25" customHeight="1">
      <c r="B468" s="31"/>
    </row>
    <row r="469" ht="11.25" customHeight="1">
      <c r="B469" s="31"/>
    </row>
    <row r="470" ht="11.25" customHeight="1">
      <c r="B470" s="31"/>
    </row>
    <row r="471" ht="11.25" customHeight="1">
      <c r="B471" s="31"/>
    </row>
    <row r="472" ht="11.25" customHeight="1">
      <c r="B472" s="31"/>
    </row>
    <row r="473" ht="11.25" customHeight="1">
      <c r="B473" s="31"/>
    </row>
    <row r="474" ht="11.25" customHeight="1">
      <c r="B474" s="31"/>
    </row>
    <row r="475" ht="11.25" customHeight="1">
      <c r="B475" s="31"/>
    </row>
    <row r="476" ht="11.25" customHeight="1">
      <c r="B476" s="31"/>
    </row>
    <row r="477" ht="11.25" customHeight="1">
      <c r="B477" s="31"/>
    </row>
    <row r="478" ht="11.25" customHeight="1">
      <c r="B478" s="31"/>
    </row>
    <row r="479" ht="11.25" customHeight="1">
      <c r="B479" s="31"/>
    </row>
    <row r="480" ht="11.25" customHeight="1">
      <c r="B480" s="31"/>
    </row>
    <row r="481" ht="11.25" customHeight="1">
      <c r="B481" s="31"/>
    </row>
    <row r="482" ht="11.25" customHeight="1">
      <c r="B482" s="31"/>
    </row>
    <row r="483" ht="11.25" customHeight="1">
      <c r="B483" s="31"/>
    </row>
    <row r="484" ht="11.25" customHeight="1">
      <c r="B484" s="31"/>
    </row>
    <row r="485" ht="11.25" customHeight="1">
      <c r="B485" s="31"/>
    </row>
    <row r="486" ht="11.25" customHeight="1">
      <c r="B486" s="31"/>
    </row>
    <row r="487" ht="11.25" customHeight="1">
      <c r="B487" s="31"/>
    </row>
    <row r="488" ht="11.25" customHeight="1">
      <c r="B488" s="31"/>
    </row>
    <row r="489" ht="11.25" customHeight="1">
      <c r="B489" s="31"/>
    </row>
    <row r="490" ht="11.25" customHeight="1">
      <c r="B490" s="31"/>
    </row>
    <row r="491" ht="11.25" customHeight="1">
      <c r="B491" s="31"/>
    </row>
    <row r="492" ht="11.25" customHeight="1">
      <c r="B492" s="31"/>
    </row>
    <row r="493" ht="11.25" customHeight="1">
      <c r="B493" s="31"/>
    </row>
    <row r="494" ht="11.25" customHeight="1">
      <c r="B494" s="31"/>
    </row>
    <row r="495" ht="11.25" customHeight="1">
      <c r="B495" s="31"/>
    </row>
    <row r="496" ht="11.25" customHeight="1">
      <c r="B496" s="31"/>
    </row>
    <row r="497" ht="11.25" customHeight="1">
      <c r="B497" s="31"/>
    </row>
    <row r="498" ht="11.25" customHeight="1">
      <c r="B498" s="31"/>
    </row>
    <row r="499" ht="11.25" customHeight="1">
      <c r="B499" s="31"/>
    </row>
    <row r="500" ht="11.25" customHeight="1">
      <c r="B500" s="31"/>
    </row>
    <row r="501" ht="11.25" customHeight="1">
      <c r="B501" s="31"/>
    </row>
    <row r="502" ht="11.25" customHeight="1">
      <c r="B502" s="31"/>
    </row>
    <row r="503" ht="11.25" customHeight="1">
      <c r="B503" s="31"/>
    </row>
    <row r="504" ht="11.25" customHeight="1">
      <c r="B504" s="31"/>
    </row>
    <row r="505" ht="11.25" customHeight="1">
      <c r="B505" s="31"/>
    </row>
    <row r="506" ht="11.25" customHeight="1">
      <c r="B506" s="31"/>
    </row>
    <row r="507" ht="11.25" customHeight="1">
      <c r="B507" s="31"/>
    </row>
    <row r="508" ht="11.25" customHeight="1">
      <c r="B508" s="31"/>
    </row>
    <row r="509" ht="11.25" customHeight="1">
      <c r="B509" s="31"/>
    </row>
    <row r="510" ht="11.25" customHeight="1">
      <c r="B510" s="31"/>
    </row>
    <row r="511" ht="11.25" customHeight="1">
      <c r="B511" s="31"/>
    </row>
    <row r="512" ht="11.25" customHeight="1">
      <c r="B512" s="31"/>
    </row>
    <row r="513" ht="11.25" customHeight="1">
      <c r="B513" s="31"/>
    </row>
    <row r="514" ht="11.25" customHeight="1">
      <c r="B514" s="31"/>
    </row>
    <row r="515" ht="11.25" customHeight="1">
      <c r="B515" s="31"/>
    </row>
    <row r="516" ht="11.25" customHeight="1">
      <c r="B516" s="31"/>
    </row>
    <row r="517" ht="11.25" customHeight="1">
      <c r="B517" s="31"/>
    </row>
    <row r="518" ht="11.25" customHeight="1">
      <c r="B518" s="31"/>
    </row>
    <row r="519" ht="11.25" customHeight="1">
      <c r="B519" s="31"/>
    </row>
    <row r="520" ht="11.25" customHeight="1">
      <c r="B520" s="31"/>
    </row>
    <row r="521" ht="11.25" customHeight="1">
      <c r="B521" s="31"/>
    </row>
    <row r="522" ht="11.25" customHeight="1">
      <c r="B522" s="31"/>
    </row>
    <row r="523" ht="11.25" customHeight="1">
      <c r="B523" s="31"/>
    </row>
    <row r="524" ht="11.25" customHeight="1">
      <c r="B524" s="31"/>
    </row>
    <row r="525" ht="11.25" customHeight="1">
      <c r="B525" s="31"/>
    </row>
    <row r="526" ht="11.25" customHeight="1">
      <c r="B526" s="31"/>
    </row>
    <row r="527" ht="11.25" customHeight="1">
      <c r="B527" s="31"/>
    </row>
    <row r="528" ht="11.25" customHeight="1">
      <c r="B528" s="31"/>
    </row>
    <row r="529" ht="11.25" customHeight="1">
      <c r="B529" s="31"/>
    </row>
    <row r="530" ht="11.25" customHeight="1">
      <c r="B530" s="31"/>
    </row>
    <row r="531" ht="11.25" customHeight="1">
      <c r="B531" s="31"/>
    </row>
    <row r="532" ht="11.25" customHeight="1">
      <c r="B532" s="31"/>
    </row>
    <row r="533" ht="11.25" customHeight="1">
      <c r="B533" s="31"/>
    </row>
    <row r="534" ht="11.25" customHeight="1">
      <c r="B534" s="31"/>
    </row>
    <row r="535" ht="11.25" customHeight="1">
      <c r="B535" s="31"/>
    </row>
    <row r="536" ht="11.25" customHeight="1">
      <c r="B536" s="31"/>
    </row>
    <row r="537" ht="11.25" customHeight="1">
      <c r="B537" s="31"/>
    </row>
    <row r="538" ht="11.25" customHeight="1">
      <c r="B538" s="31"/>
    </row>
    <row r="539" ht="11.25" customHeight="1">
      <c r="B539" s="31"/>
    </row>
    <row r="540" ht="11.25" customHeight="1">
      <c r="B540" s="31"/>
    </row>
    <row r="541" ht="11.25" customHeight="1">
      <c r="B541" s="31"/>
    </row>
    <row r="542" ht="11.25" customHeight="1">
      <c r="B542" s="31"/>
    </row>
    <row r="543" ht="11.25" customHeight="1">
      <c r="B543" s="31"/>
    </row>
    <row r="544" ht="11.25" customHeight="1">
      <c r="B544" s="31"/>
    </row>
    <row r="545" ht="11.25" customHeight="1">
      <c r="B545" s="31"/>
    </row>
    <row r="546" ht="11.25" customHeight="1">
      <c r="B546" s="31"/>
    </row>
    <row r="547" ht="11.25" customHeight="1">
      <c r="B547" s="31"/>
    </row>
    <row r="548" ht="11.25" customHeight="1">
      <c r="B548" s="31"/>
    </row>
    <row r="549" ht="11.25" customHeight="1">
      <c r="B549" s="31"/>
    </row>
    <row r="550" ht="11.25" customHeight="1">
      <c r="B550" s="31"/>
    </row>
    <row r="551" ht="11.25" customHeight="1">
      <c r="B551" s="31"/>
    </row>
    <row r="552" ht="11.25" customHeight="1">
      <c r="B552" s="31"/>
    </row>
    <row r="553" ht="11.25" customHeight="1">
      <c r="B553" s="31"/>
    </row>
    <row r="554" ht="11.25" customHeight="1">
      <c r="B554" s="31"/>
    </row>
    <row r="555" ht="11.25" customHeight="1">
      <c r="B555" s="31"/>
    </row>
    <row r="556" ht="11.25" customHeight="1">
      <c r="B556" s="31"/>
    </row>
    <row r="557" ht="11.25" customHeight="1">
      <c r="B557" s="31"/>
    </row>
    <row r="558" ht="11.25" customHeight="1">
      <c r="B558" s="31"/>
    </row>
    <row r="559" ht="11.25" customHeight="1">
      <c r="B559" s="31"/>
    </row>
    <row r="560" ht="11.25" customHeight="1">
      <c r="B560" s="31"/>
    </row>
    <row r="561" ht="11.25" customHeight="1">
      <c r="B561" s="31"/>
    </row>
    <row r="562" ht="11.25" customHeight="1">
      <c r="B562" s="31"/>
    </row>
    <row r="563" ht="11.25" customHeight="1">
      <c r="B563" s="31"/>
    </row>
    <row r="564" ht="11.25" customHeight="1">
      <c r="B564" s="31"/>
    </row>
    <row r="565" ht="11.25" customHeight="1">
      <c r="B565" s="31"/>
    </row>
    <row r="566" ht="11.25" customHeight="1">
      <c r="B566" s="31"/>
    </row>
    <row r="567" ht="11.25" customHeight="1">
      <c r="B567" s="31"/>
    </row>
    <row r="568" ht="11.25" customHeight="1">
      <c r="B568" s="31"/>
    </row>
    <row r="569" ht="11.25" customHeight="1">
      <c r="B569" s="31"/>
    </row>
    <row r="570" ht="11.25" customHeight="1">
      <c r="B570" s="31"/>
    </row>
    <row r="571" ht="11.25" customHeight="1">
      <c r="B571" s="31"/>
    </row>
    <row r="572" ht="11.25" customHeight="1">
      <c r="B572" s="31"/>
    </row>
    <row r="573" ht="11.25" customHeight="1">
      <c r="B573" s="31"/>
    </row>
    <row r="574" ht="11.25" customHeight="1">
      <c r="B574" s="31"/>
    </row>
    <row r="575" ht="11.25" customHeight="1">
      <c r="B575" s="31"/>
    </row>
    <row r="576" ht="11.25" customHeight="1">
      <c r="B576" s="31"/>
    </row>
    <row r="577" ht="11.25" customHeight="1">
      <c r="B577" s="31"/>
    </row>
    <row r="578" ht="11.25" customHeight="1">
      <c r="B578" s="31"/>
    </row>
    <row r="579" ht="11.25" customHeight="1">
      <c r="B579" s="31"/>
    </row>
    <row r="580" ht="11.25" customHeight="1">
      <c r="B580" s="31"/>
    </row>
    <row r="581" ht="11.25" customHeight="1">
      <c r="B581" s="31"/>
    </row>
    <row r="582" ht="11.25" customHeight="1">
      <c r="B582" s="31"/>
    </row>
    <row r="583" ht="11.25" customHeight="1">
      <c r="B583" s="31"/>
    </row>
    <row r="584" ht="11.25" customHeight="1">
      <c r="B584" s="31"/>
    </row>
    <row r="585" ht="11.25" customHeight="1">
      <c r="B585" s="31"/>
    </row>
    <row r="586" ht="11.25" customHeight="1">
      <c r="B586" s="31"/>
    </row>
    <row r="587" ht="11.25" customHeight="1">
      <c r="B587" s="31"/>
    </row>
    <row r="588" ht="11.25" customHeight="1">
      <c r="B588" s="31"/>
    </row>
    <row r="589" ht="11.25" customHeight="1">
      <c r="B589" s="31"/>
    </row>
    <row r="590" ht="11.25" customHeight="1">
      <c r="B590" s="31"/>
    </row>
    <row r="591" ht="11.25" customHeight="1">
      <c r="B591" s="31"/>
    </row>
    <row r="592" ht="11.25" customHeight="1">
      <c r="B592" s="31"/>
    </row>
    <row r="593" ht="11.25" customHeight="1">
      <c r="B593" s="31"/>
    </row>
    <row r="594" ht="11.25" customHeight="1">
      <c r="B594" s="31"/>
    </row>
    <row r="595" ht="11.25" customHeight="1">
      <c r="B595" s="31"/>
    </row>
    <row r="596" ht="11.25" customHeight="1">
      <c r="B596" s="31"/>
    </row>
    <row r="597" ht="11.25" customHeight="1">
      <c r="B597" s="31"/>
    </row>
    <row r="598" ht="11.25" customHeight="1">
      <c r="B598" s="31"/>
    </row>
    <row r="599" ht="11.25" customHeight="1">
      <c r="B599" s="31"/>
    </row>
    <row r="600" ht="11.25" customHeight="1">
      <c r="B600" s="31"/>
    </row>
    <row r="601" ht="11.25" customHeight="1">
      <c r="B601" s="31"/>
    </row>
    <row r="602" ht="11.25" customHeight="1">
      <c r="B602" s="31"/>
    </row>
    <row r="603" ht="11.25" customHeight="1">
      <c r="B603" s="31"/>
    </row>
    <row r="604" ht="11.25" customHeight="1">
      <c r="B604" s="31"/>
    </row>
    <row r="605" ht="11.25" customHeight="1">
      <c r="B605" s="31"/>
    </row>
    <row r="606" ht="11.25" customHeight="1">
      <c r="B606" s="31"/>
    </row>
    <row r="607" ht="11.25" customHeight="1">
      <c r="B607" s="31"/>
    </row>
    <row r="608" ht="11.25" customHeight="1">
      <c r="B608" s="31"/>
    </row>
    <row r="609" ht="11.25" customHeight="1">
      <c r="B609" s="31"/>
    </row>
    <row r="610" ht="11.25" customHeight="1">
      <c r="B610" s="31"/>
    </row>
    <row r="611" ht="11.25" customHeight="1">
      <c r="B611" s="31"/>
    </row>
    <row r="612" ht="11.25" customHeight="1">
      <c r="B612" s="31"/>
    </row>
    <row r="613" ht="11.25" customHeight="1">
      <c r="B613" s="31"/>
    </row>
    <row r="614" ht="11.25" customHeight="1">
      <c r="B614" s="31"/>
    </row>
    <row r="615" ht="11.25" customHeight="1">
      <c r="B615" s="31"/>
    </row>
    <row r="616" ht="11.25" customHeight="1">
      <c r="B616" s="31"/>
    </row>
    <row r="617" ht="11.25" customHeight="1">
      <c r="B617" s="31"/>
    </row>
    <row r="618" ht="11.25" customHeight="1">
      <c r="B618" s="31"/>
    </row>
    <row r="619" ht="11.25" customHeight="1">
      <c r="B619" s="31"/>
    </row>
    <row r="620" ht="11.25" customHeight="1">
      <c r="B620" s="31"/>
    </row>
    <row r="621" ht="11.25" customHeight="1">
      <c r="B621" s="31"/>
    </row>
    <row r="622" ht="11.25" customHeight="1">
      <c r="B622" s="31"/>
    </row>
    <row r="623" ht="11.25" customHeight="1">
      <c r="B623" s="31"/>
    </row>
    <row r="624" ht="11.25" customHeight="1">
      <c r="B624" s="31"/>
    </row>
    <row r="625" ht="11.25" customHeight="1">
      <c r="B625" s="31"/>
    </row>
    <row r="626" ht="11.25" customHeight="1">
      <c r="B626" s="31"/>
    </row>
    <row r="627" ht="11.25" customHeight="1">
      <c r="B627" s="31"/>
    </row>
    <row r="628" ht="11.25" customHeight="1">
      <c r="B628" s="31"/>
    </row>
    <row r="629" ht="11.25" customHeight="1">
      <c r="B629" s="31"/>
    </row>
    <row r="630" ht="11.25" customHeight="1">
      <c r="B630" s="31"/>
    </row>
    <row r="631" ht="11.25" customHeight="1">
      <c r="B631" s="31"/>
    </row>
    <row r="632" ht="11.25" customHeight="1">
      <c r="B632" s="31"/>
    </row>
    <row r="633" ht="11.25" customHeight="1">
      <c r="B633" s="31"/>
    </row>
    <row r="634" ht="11.25" customHeight="1">
      <c r="B634" s="31"/>
    </row>
    <row r="635" ht="11.25" customHeight="1">
      <c r="B635" s="31"/>
    </row>
    <row r="636" ht="11.25" customHeight="1">
      <c r="B636" s="31"/>
    </row>
    <row r="637" ht="11.25" customHeight="1">
      <c r="B637" s="31"/>
    </row>
    <row r="638" ht="11.25" customHeight="1">
      <c r="B638" s="31"/>
    </row>
    <row r="639" ht="11.25" customHeight="1">
      <c r="B639" s="31"/>
    </row>
    <row r="640" ht="11.25" customHeight="1">
      <c r="B640" s="31"/>
    </row>
    <row r="641" ht="11.25" customHeight="1">
      <c r="B641" s="31"/>
    </row>
    <row r="642" ht="11.25" customHeight="1">
      <c r="B642" s="31"/>
    </row>
    <row r="643" ht="11.25" customHeight="1">
      <c r="B643" s="31"/>
    </row>
    <row r="644" ht="11.25" customHeight="1">
      <c r="B644" s="31"/>
    </row>
    <row r="645" ht="11.25" customHeight="1">
      <c r="B645" s="31"/>
    </row>
    <row r="646" ht="11.25" customHeight="1">
      <c r="B646" s="31"/>
    </row>
    <row r="647" ht="11.25" customHeight="1">
      <c r="B647" s="31"/>
    </row>
    <row r="648" ht="11.25" customHeight="1">
      <c r="B648" s="31"/>
    </row>
    <row r="649" ht="11.25" customHeight="1">
      <c r="B649" s="31"/>
    </row>
    <row r="650" ht="11.25" customHeight="1">
      <c r="B650" s="31"/>
    </row>
    <row r="651" ht="11.25" customHeight="1">
      <c r="B651" s="31"/>
    </row>
    <row r="652" ht="11.25" customHeight="1">
      <c r="B652" s="31"/>
    </row>
    <row r="653" ht="11.25" customHeight="1">
      <c r="B653" s="31"/>
    </row>
    <row r="654" ht="11.25" customHeight="1">
      <c r="B654" s="31"/>
    </row>
    <row r="655" ht="11.25" customHeight="1">
      <c r="B655" s="31"/>
    </row>
    <row r="656" ht="11.25" customHeight="1">
      <c r="B656" s="31"/>
    </row>
    <row r="657" ht="11.25" customHeight="1">
      <c r="B657" s="31"/>
    </row>
    <row r="658" ht="11.25" customHeight="1">
      <c r="B658" s="31"/>
    </row>
    <row r="659" ht="11.25" customHeight="1">
      <c r="B659" s="31"/>
    </row>
    <row r="660" ht="11.25" customHeight="1">
      <c r="B660" s="31"/>
    </row>
    <row r="661" ht="11.25" customHeight="1">
      <c r="B661" s="31"/>
    </row>
    <row r="662" ht="11.25" customHeight="1">
      <c r="B662" s="31"/>
    </row>
    <row r="663" ht="11.25" customHeight="1">
      <c r="B663" s="31"/>
    </row>
    <row r="664" ht="11.25" customHeight="1">
      <c r="B664" s="31"/>
    </row>
    <row r="665" ht="11.25" customHeight="1">
      <c r="B665" s="31"/>
    </row>
    <row r="666" ht="11.25" customHeight="1">
      <c r="B666" s="31"/>
    </row>
    <row r="667" ht="11.25" customHeight="1">
      <c r="B667" s="31"/>
    </row>
    <row r="668" ht="11.25" customHeight="1">
      <c r="B668" s="31"/>
    </row>
    <row r="669" ht="11.25" customHeight="1">
      <c r="B669" s="31"/>
    </row>
    <row r="670" ht="11.25" customHeight="1">
      <c r="B670" s="31"/>
    </row>
    <row r="671" ht="11.25" customHeight="1">
      <c r="B671" s="31"/>
    </row>
    <row r="672" ht="11.25" customHeight="1">
      <c r="B672" s="31"/>
    </row>
    <row r="673" ht="11.25" customHeight="1">
      <c r="B673" s="31"/>
    </row>
    <row r="674" ht="11.25" customHeight="1">
      <c r="B674" s="31"/>
    </row>
    <row r="675" ht="11.25" customHeight="1">
      <c r="B675" s="31"/>
    </row>
    <row r="676" ht="11.25" customHeight="1">
      <c r="B676" s="31"/>
    </row>
    <row r="677" ht="11.25" customHeight="1">
      <c r="B677" s="31"/>
    </row>
    <row r="678" ht="11.25" customHeight="1">
      <c r="B678" s="31"/>
    </row>
    <row r="679" ht="11.25" customHeight="1">
      <c r="B679" s="31"/>
    </row>
    <row r="680" ht="11.25" customHeight="1">
      <c r="B680" s="31"/>
    </row>
    <row r="681" ht="11.25" customHeight="1">
      <c r="B681" s="31"/>
    </row>
    <row r="682" ht="11.25" customHeight="1">
      <c r="B682" s="31"/>
    </row>
    <row r="683" ht="11.25" customHeight="1">
      <c r="B683" s="31"/>
    </row>
    <row r="684" ht="11.25" customHeight="1">
      <c r="B684" s="31"/>
    </row>
    <row r="685" ht="11.25" customHeight="1">
      <c r="B685" s="31"/>
    </row>
    <row r="686" ht="11.25" customHeight="1">
      <c r="B686" s="31"/>
    </row>
    <row r="687" ht="11.25" customHeight="1">
      <c r="B687" s="31"/>
    </row>
    <row r="688" ht="11.25" customHeight="1">
      <c r="B688" s="31"/>
    </row>
    <row r="689" ht="11.25" customHeight="1">
      <c r="B689" s="31"/>
    </row>
    <row r="690" ht="11.25" customHeight="1">
      <c r="B690" s="31"/>
    </row>
    <row r="691" ht="11.25" customHeight="1">
      <c r="B691" s="31"/>
    </row>
    <row r="692" ht="11.25" customHeight="1">
      <c r="B692" s="31"/>
    </row>
    <row r="693" ht="11.25" customHeight="1">
      <c r="B693" s="31"/>
    </row>
    <row r="694" ht="11.25" customHeight="1">
      <c r="B694" s="31"/>
    </row>
    <row r="695" ht="11.25" customHeight="1">
      <c r="B695" s="31"/>
    </row>
    <row r="696" ht="11.25" customHeight="1">
      <c r="B696" s="31"/>
    </row>
    <row r="697" ht="11.25" customHeight="1">
      <c r="B697" s="31"/>
    </row>
    <row r="698" ht="11.25" customHeight="1">
      <c r="B698" s="31"/>
    </row>
    <row r="699" ht="11.25" customHeight="1">
      <c r="B699" s="31"/>
    </row>
    <row r="700" ht="11.25" customHeight="1">
      <c r="B700" s="31"/>
    </row>
    <row r="701" ht="11.25" customHeight="1">
      <c r="B701" s="31"/>
    </row>
    <row r="702" ht="11.25" customHeight="1">
      <c r="B702" s="31"/>
    </row>
    <row r="703" ht="11.25" customHeight="1">
      <c r="B703" s="31"/>
    </row>
    <row r="704" ht="11.25" customHeight="1">
      <c r="B704" s="31"/>
    </row>
    <row r="705" ht="11.25" customHeight="1">
      <c r="B705" s="31"/>
    </row>
    <row r="706" ht="11.25" customHeight="1">
      <c r="B706" s="31"/>
    </row>
    <row r="707" ht="11.25" customHeight="1">
      <c r="B707" s="31"/>
    </row>
    <row r="708" ht="11.25" customHeight="1">
      <c r="B708" s="31"/>
    </row>
    <row r="709" ht="11.25" customHeight="1">
      <c r="B709" s="31"/>
    </row>
    <row r="710" ht="11.25" customHeight="1">
      <c r="B710" s="31"/>
    </row>
    <row r="711" ht="11.25" customHeight="1">
      <c r="B711" s="31"/>
    </row>
    <row r="712" ht="11.25" customHeight="1">
      <c r="B712" s="31"/>
    </row>
    <row r="713" ht="11.25" customHeight="1">
      <c r="B713" s="31"/>
    </row>
    <row r="714" ht="11.25" customHeight="1">
      <c r="B714" s="31"/>
    </row>
    <row r="715" ht="11.25" customHeight="1">
      <c r="B715" s="31"/>
    </row>
    <row r="716" ht="11.25" customHeight="1">
      <c r="B716" s="31"/>
    </row>
    <row r="717" ht="11.25" customHeight="1">
      <c r="B717" s="31"/>
    </row>
    <row r="718" ht="11.25" customHeight="1">
      <c r="B718" s="31"/>
    </row>
    <row r="719" ht="11.25" customHeight="1">
      <c r="B719" s="31"/>
    </row>
    <row r="720" ht="11.25" customHeight="1">
      <c r="B720" s="31"/>
    </row>
    <row r="721" ht="11.25" customHeight="1">
      <c r="B721" s="31"/>
    </row>
    <row r="722" ht="11.25" customHeight="1">
      <c r="B722" s="31"/>
    </row>
    <row r="723" ht="11.25" customHeight="1">
      <c r="B723" s="31"/>
    </row>
    <row r="724" ht="11.25" customHeight="1">
      <c r="B724" s="31"/>
    </row>
    <row r="725" ht="11.25" customHeight="1">
      <c r="B725" s="31"/>
    </row>
    <row r="726" ht="11.25" customHeight="1">
      <c r="B726" s="31"/>
    </row>
    <row r="727" ht="11.25" customHeight="1">
      <c r="B727" s="31"/>
    </row>
    <row r="728" ht="11.25" customHeight="1">
      <c r="B728" s="31"/>
    </row>
    <row r="729" ht="11.25" customHeight="1">
      <c r="B729" s="31"/>
    </row>
    <row r="730" ht="11.25" customHeight="1">
      <c r="B730" s="31"/>
    </row>
    <row r="731" ht="11.25" customHeight="1">
      <c r="B731" s="31"/>
    </row>
    <row r="732" ht="11.25" customHeight="1">
      <c r="B732" s="31"/>
    </row>
    <row r="733" ht="11.25" customHeight="1">
      <c r="B733" s="31"/>
    </row>
    <row r="734" ht="11.25" customHeight="1">
      <c r="B734" s="31"/>
    </row>
    <row r="735" ht="11.25" customHeight="1">
      <c r="B735" s="31"/>
    </row>
    <row r="736" ht="11.25" customHeight="1">
      <c r="B736" s="31"/>
    </row>
    <row r="737" ht="11.25" customHeight="1">
      <c r="B737" s="31"/>
    </row>
    <row r="738" ht="11.25" customHeight="1">
      <c r="B738" s="31"/>
    </row>
    <row r="739" ht="11.25" customHeight="1">
      <c r="B739" s="31"/>
    </row>
    <row r="740" ht="11.25" customHeight="1">
      <c r="B740" s="31"/>
    </row>
    <row r="741" ht="11.25" customHeight="1">
      <c r="B741" s="31"/>
    </row>
    <row r="742" ht="11.25" customHeight="1">
      <c r="B742" s="31"/>
    </row>
    <row r="743" ht="11.25" customHeight="1">
      <c r="B743" s="31"/>
    </row>
    <row r="744" ht="11.25" customHeight="1">
      <c r="B744" s="31"/>
    </row>
    <row r="745" ht="11.25" customHeight="1">
      <c r="B745" s="31"/>
    </row>
    <row r="746" ht="11.25" customHeight="1">
      <c r="B746" s="31"/>
    </row>
    <row r="747" ht="11.25" customHeight="1">
      <c r="B747" s="31"/>
    </row>
    <row r="748" ht="11.25" customHeight="1">
      <c r="B748" s="31"/>
    </row>
    <row r="749" ht="11.25" customHeight="1">
      <c r="B749" s="31"/>
    </row>
    <row r="750" ht="11.25" customHeight="1">
      <c r="B750" s="31"/>
    </row>
    <row r="751" ht="11.25" customHeight="1">
      <c r="B751" s="31"/>
    </row>
    <row r="752" ht="11.25" customHeight="1">
      <c r="B752" s="31"/>
    </row>
    <row r="753" ht="11.25" customHeight="1">
      <c r="B753" s="31"/>
    </row>
    <row r="754" ht="11.25" customHeight="1">
      <c r="B754" s="31"/>
    </row>
    <row r="755" ht="11.25" customHeight="1">
      <c r="B755" s="31"/>
    </row>
    <row r="756" ht="11.25" customHeight="1">
      <c r="B756" s="31"/>
    </row>
    <row r="757" ht="11.25" customHeight="1">
      <c r="B757" s="31"/>
    </row>
    <row r="758" ht="11.25" customHeight="1">
      <c r="B758" s="31"/>
    </row>
    <row r="759" ht="11.25" customHeight="1">
      <c r="B759" s="31"/>
    </row>
    <row r="760" ht="11.25" customHeight="1">
      <c r="B760" s="31"/>
    </row>
    <row r="761" ht="11.25" customHeight="1">
      <c r="B761" s="31"/>
    </row>
    <row r="762" ht="11.25" customHeight="1">
      <c r="B762" s="31"/>
    </row>
    <row r="763" ht="11.25" customHeight="1">
      <c r="B763" s="31"/>
    </row>
    <row r="764" ht="11.25" customHeight="1">
      <c r="B764" s="31"/>
    </row>
    <row r="765" ht="11.25" customHeight="1">
      <c r="B765" s="31"/>
    </row>
    <row r="766" ht="11.25" customHeight="1">
      <c r="B766" s="31"/>
    </row>
    <row r="767" ht="11.25" customHeight="1">
      <c r="B767" s="31"/>
    </row>
    <row r="768" ht="11.25" customHeight="1">
      <c r="B768" s="31"/>
    </row>
    <row r="769" ht="11.25" customHeight="1">
      <c r="B769" s="31"/>
    </row>
    <row r="770" ht="11.25" customHeight="1">
      <c r="B770" s="31"/>
    </row>
    <row r="771" ht="11.25" customHeight="1">
      <c r="B771" s="31"/>
    </row>
    <row r="772" ht="11.25" customHeight="1">
      <c r="B772" s="31"/>
    </row>
    <row r="773" ht="11.25" customHeight="1">
      <c r="B773" s="31"/>
    </row>
    <row r="774" ht="11.25" customHeight="1">
      <c r="B774" s="31"/>
    </row>
    <row r="775" ht="11.25" customHeight="1">
      <c r="B775" s="31"/>
    </row>
    <row r="776" ht="11.25" customHeight="1">
      <c r="B776" s="31"/>
    </row>
    <row r="777" ht="11.25" customHeight="1">
      <c r="B777" s="31"/>
    </row>
    <row r="778" ht="11.25" customHeight="1">
      <c r="B778" s="31"/>
    </row>
    <row r="779" ht="11.25" customHeight="1">
      <c r="B779" s="31"/>
    </row>
    <row r="780" ht="11.25" customHeight="1">
      <c r="B780" s="31"/>
    </row>
    <row r="781" ht="11.25" customHeight="1">
      <c r="B781" s="31"/>
    </row>
    <row r="782" ht="11.25" customHeight="1">
      <c r="B782" s="31"/>
    </row>
    <row r="783" ht="11.25" customHeight="1">
      <c r="B783" s="31"/>
    </row>
    <row r="784" ht="11.25" customHeight="1">
      <c r="B784" s="31"/>
    </row>
    <row r="785" ht="11.25" customHeight="1">
      <c r="B785" s="31"/>
    </row>
    <row r="786" ht="11.25" customHeight="1">
      <c r="B786" s="31"/>
    </row>
    <row r="787" ht="11.25" customHeight="1">
      <c r="B787" s="31"/>
    </row>
    <row r="788" ht="11.25" customHeight="1">
      <c r="B788" s="31"/>
    </row>
    <row r="789" ht="11.25" customHeight="1">
      <c r="B789" s="31"/>
    </row>
    <row r="790" ht="11.25" customHeight="1">
      <c r="B790" s="31"/>
    </row>
    <row r="791" ht="11.25" customHeight="1">
      <c r="B791" s="31"/>
    </row>
    <row r="792" ht="11.25" customHeight="1">
      <c r="B792" s="31"/>
    </row>
    <row r="793" ht="11.25" customHeight="1">
      <c r="B793" s="31"/>
    </row>
    <row r="794" ht="11.25" customHeight="1">
      <c r="B794" s="31"/>
    </row>
    <row r="795" ht="11.25" customHeight="1">
      <c r="B795" s="31"/>
    </row>
    <row r="796" ht="11.25" customHeight="1">
      <c r="B796" s="31"/>
    </row>
    <row r="797" ht="11.25" customHeight="1">
      <c r="B797" s="31"/>
    </row>
    <row r="798" ht="11.25" customHeight="1">
      <c r="B798" s="31"/>
    </row>
    <row r="799" ht="11.25" customHeight="1">
      <c r="B799" s="31"/>
    </row>
    <row r="800" ht="11.25" customHeight="1">
      <c r="B800" s="31"/>
    </row>
    <row r="801" ht="11.25" customHeight="1">
      <c r="B801" s="31"/>
    </row>
    <row r="802" ht="11.25" customHeight="1">
      <c r="B802" s="31"/>
    </row>
    <row r="803" ht="11.25" customHeight="1">
      <c r="B803" s="31"/>
    </row>
    <row r="804" ht="11.25" customHeight="1">
      <c r="B804" s="31"/>
    </row>
    <row r="805" ht="11.25" customHeight="1">
      <c r="B805" s="31"/>
    </row>
    <row r="806" ht="11.25" customHeight="1">
      <c r="B806" s="31"/>
    </row>
    <row r="807" ht="11.25" customHeight="1">
      <c r="B807" s="31"/>
    </row>
    <row r="808" ht="11.25" customHeight="1">
      <c r="B808" s="31"/>
    </row>
    <row r="809" ht="11.25" customHeight="1">
      <c r="B809" s="31"/>
    </row>
    <row r="810" ht="11.25" customHeight="1">
      <c r="B810" s="31"/>
    </row>
    <row r="811" ht="11.25" customHeight="1">
      <c r="B811" s="31"/>
    </row>
    <row r="812" ht="11.25" customHeight="1">
      <c r="B812" s="31"/>
    </row>
    <row r="813" ht="11.25" customHeight="1">
      <c r="B813" s="31"/>
    </row>
    <row r="814" ht="11.25" customHeight="1">
      <c r="B814" s="31"/>
    </row>
    <row r="815" ht="11.25" customHeight="1">
      <c r="B815" s="31"/>
    </row>
    <row r="816" ht="11.25" customHeight="1">
      <c r="B816" s="31"/>
    </row>
    <row r="817" ht="11.25" customHeight="1">
      <c r="B817" s="31"/>
    </row>
    <row r="818" ht="11.25" customHeight="1">
      <c r="B818" s="31"/>
    </row>
    <row r="819" ht="11.25" customHeight="1">
      <c r="B819" s="31"/>
    </row>
    <row r="820" ht="11.25" customHeight="1">
      <c r="B820" s="31"/>
    </row>
    <row r="821" ht="11.25" customHeight="1">
      <c r="B821" s="31"/>
    </row>
    <row r="822" ht="11.25" customHeight="1">
      <c r="B822" s="31"/>
    </row>
    <row r="823" ht="11.25" customHeight="1">
      <c r="B823" s="31"/>
    </row>
    <row r="824" ht="11.25" customHeight="1">
      <c r="B824" s="31"/>
    </row>
    <row r="825" ht="11.25" customHeight="1">
      <c r="B825" s="31"/>
    </row>
    <row r="826" ht="11.25" customHeight="1">
      <c r="B826" s="31"/>
    </row>
    <row r="827" ht="11.25" customHeight="1">
      <c r="B827" s="31"/>
    </row>
    <row r="828" ht="11.25" customHeight="1">
      <c r="B828" s="31"/>
    </row>
    <row r="829" ht="11.25" customHeight="1">
      <c r="B829" s="31"/>
    </row>
    <row r="830" ht="11.25" customHeight="1">
      <c r="B830" s="31"/>
    </row>
    <row r="831" ht="11.25" customHeight="1">
      <c r="B831" s="31"/>
    </row>
    <row r="832" ht="11.25" customHeight="1">
      <c r="B832" s="31"/>
    </row>
    <row r="833" ht="11.25" customHeight="1">
      <c r="B833" s="31"/>
    </row>
    <row r="834" ht="11.25" customHeight="1">
      <c r="B834" s="31"/>
    </row>
    <row r="835" ht="11.25" customHeight="1">
      <c r="B835" s="31"/>
    </row>
    <row r="836" ht="11.25" customHeight="1">
      <c r="B836" s="31"/>
    </row>
    <row r="837" ht="11.25" customHeight="1">
      <c r="B837" s="31"/>
    </row>
    <row r="838" ht="11.25" customHeight="1">
      <c r="B838" s="31"/>
    </row>
    <row r="839" ht="11.25" customHeight="1">
      <c r="B839" s="31"/>
    </row>
    <row r="840" ht="11.25" customHeight="1">
      <c r="B840" s="31"/>
    </row>
    <row r="841" ht="11.25" customHeight="1">
      <c r="B841" s="31"/>
    </row>
    <row r="842" ht="11.25" customHeight="1">
      <c r="B842" s="31"/>
    </row>
    <row r="843" ht="11.25" customHeight="1">
      <c r="B843" s="31"/>
    </row>
    <row r="844" ht="11.25" customHeight="1">
      <c r="B844" s="31"/>
    </row>
    <row r="845" ht="11.25" customHeight="1">
      <c r="B845" s="31"/>
    </row>
    <row r="846" ht="11.25" customHeight="1">
      <c r="B846" s="31"/>
    </row>
    <row r="847" ht="11.25" customHeight="1">
      <c r="B847" s="31"/>
    </row>
    <row r="848" ht="11.25" customHeight="1">
      <c r="B848" s="31"/>
    </row>
    <row r="849" ht="11.25" customHeight="1">
      <c r="B849" s="31"/>
    </row>
    <row r="850" ht="11.25" customHeight="1">
      <c r="B850" s="31"/>
    </row>
    <row r="851" ht="11.25" customHeight="1">
      <c r="B851" s="31"/>
    </row>
    <row r="852" ht="11.25" customHeight="1">
      <c r="B852" s="31"/>
    </row>
    <row r="853" ht="11.25" customHeight="1">
      <c r="B853" s="31"/>
    </row>
    <row r="854" ht="11.25" customHeight="1">
      <c r="B854" s="31"/>
    </row>
    <row r="855" ht="11.25" customHeight="1">
      <c r="B855" s="31"/>
    </row>
    <row r="856" ht="11.25" customHeight="1">
      <c r="B856" s="31"/>
    </row>
    <row r="857" ht="11.25" customHeight="1">
      <c r="B857" s="31"/>
    </row>
    <row r="858" ht="11.25" customHeight="1">
      <c r="B858" s="31"/>
    </row>
    <row r="859" ht="11.25" customHeight="1">
      <c r="B859" s="31"/>
    </row>
    <row r="860" ht="11.25" customHeight="1">
      <c r="B860" s="31"/>
    </row>
    <row r="861" ht="11.25" customHeight="1">
      <c r="B861" s="31"/>
    </row>
    <row r="862" ht="11.25" customHeight="1">
      <c r="B862" s="31"/>
    </row>
    <row r="863" ht="11.25" customHeight="1">
      <c r="B863" s="31"/>
    </row>
    <row r="864" ht="11.25" customHeight="1">
      <c r="B864" s="31"/>
    </row>
    <row r="865" ht="11.25" customHeight="1">
      <c r="B865" s="31"/>
    </row>
    <row r="866" ht="11.25" customHeight="1">
      <c r="B866" s="31"/>
    </row>
    <row r="867" ht="11.25" customHeight="1">
      <c r="B867" s="31"/>
    </row>
    <row r="868" ht="11.25" customHeight="1">
      <c r="B868" s="31"/>
    </row>
    <row r="869" ht="11.25" customHeight="1">
      <c r="B869" s="31"/>
    </row>
    <row r="870" ht="11.25" customHeight="1">
      <c r="B870" s="31"/>
    </row>
    <row r="871" ht="11.25" customHeight="1">
      <c r="B871" s="31"/>
    </row>
    <row r="872" ht="11.25" customHeight="1">
      <c r="B872" s="31"/>
    </row>
    <row r="873" ht="11.25" customHeight="1">
      <c r="B873" s="31"/>
    </row>
    <row r="874" ht="11.25" customHeight="1">
      <c r="B874" s="31"/>
    </row>
    <row r="875" ht="11.25" customHeight="1">
      <c r="B875" s="31"/>
    </row>
    <row r="876" ht="11.25" customHeight="1">
      <c r="B876" s="31"/>
    </row>
    <row r="877" ht="11.25" customHeight="1">
      <c r="B877" s="31"/>
    </row>
    <row r="878" ht="11.25" customHeight="1">
      <c r="B878" s="31"/>
    </row>
    <row r="879" ht="11.25" customHeight="1">
      <c r="B879" s="31"/>
    </row>
    <row r="880" ht="11.25" customHeight="1">
      <c r="B880" s="31"/>
    </row>
    <row r="881" ht="11.25" customHeight="1">
      <c r="B881" s="31"/>
    </row>
    <row r="882" ht="11.25" customHeight="1">
      <c r="B882" s="31"/>
    </row>
    <row r="883" ht="11.25" customHeight="1">
      <c r="B883" s="31"/>
    </row>
    <row r="884" ht="11.25" customHeight="1">
      <c r="B884" s="31"/>
    </row>
    <row r="885" ht="11.25" customHeight="1">
      <c r="B885" s="31"/>
    </row>
    <row r="886" ht="11.25" customHeight="1">
      <c r="B886" s="31"/>
    </row>
    <row r="887" ht="11.25" customHeight="1">
      <c r="B887" s="31"/>
    </row>
    <row r="888" ht="11.25" customHeight="1">
      <c r="B888" s="31"/>
    </row>
    <row r="889" ht="11.25" customHeight="1">
      <c r="B889" s="31"/>
    </row>
    <row r="890" ht="11.25" customHeight="1">
      <c r="B890" s="31"/>
    </row>
    <row r="891" ht="11.25" customHeight="1">
      <c r="B891" s="31"/>
    </row>
    <row r="892" ht="11.25" customHeight="1">
      <c r="B892" s="31"/>
    </row>
    <row r="893" ht="11.25" customHeight="1">
      <c r="B893" s="31"/>
    </row>
    <row r="894" ht="11.25" customHeight="1">
      <c r="B894" s="31"/>
    </row>
    <row r="895" ht="11.25" customHeight="1">
      <c r="B895" s="31"/>
    </row>
    <row r="896" ht="11.25" customHeight="1">
      <c r="B896" s="31"/>
    </row>
    <row r="897" ht="11.25" customHeight="1">
      <c r="B897" s="31"/>
    </row>
    <row r="898" ht="11.25" customHeight="1">
      <c r="B898" s="31"/>
    </row>
    <row r="899" ht="11.25" customHeight="1">
      <c r="B899" s="31"/>
    </row>
    <row r="900" ht="11.25" customHeight="1">
      <c r="B900" s="31"/>
    </row>
    <row r="901" ht="11.25" customHeight="1">
      <c r="B901" s="31"/>
    </row>
    <row r="902" ht="11.25" customHeight="1">
      <c r="B902" s="31"/>
    </row>
    <row r="903" ht="11.25" customHeight="1">
      <c r="B903" s="31"/>
    </row>
    <row r="904" ht="11.25" customHeight="1">
      <c r="B904" s="31"/>
    </row>
    <row r="905" ht="11.25" customHeight="1">
      <c r="B905" s="31"/>
    </row>
    <row r="906" ht="11.25" customHeight="1">
      <c r="B906" s="31"/>
    </row>
    <row r="907" ht="11.25" customHeight="1">
      <c r="B907" s="31"/>
    </row>
    <row r="908" ht="11.25" customHeight="1">
      <c r="B908" s="31"/>
    </row>
    <row r="909" ht="11.25" customHeight="1">
      <c r="B909" s="31"/>
    </row>
    <row r="910" ht="11.25" customHeight="1">
      <c r="B910" s="31"/>
    </row>
    <row r="911" ht="11.25" customHeight="1">
      <c r="B911" s="31"/>
    </row>
    <row r="912" ht="11.25" customHeight="1">
      <c r="B912" s="31"/>
    </row>
    <row r="913" ht="11.25" customHeight="1">
      <c r="B913" s="31"/>
    </row>
    <row r="914" ht="11.25" customHeight="1">
      <c r="B914" s="31"/>
    </row>
    <row r="915" ht="11.25" customHeight="1">
      <c r="B915" s="31"/>
    </row>
    <row r="916" ht="11.25" customHeight="1">
      <c r="B916" s="31"/>
    </row>
    <row r="917" ht="11.25" customHeight="1">
      <c r="B917" s="31"/>
    </row>
    <row r="918" ht="11.25" customHeight="1">
      <c r="B918" s="31"/>
    </row>
    <row r="919" ht="11.25" customHeight="1">
      <c r="B919" s="31"/>
    </row>
    <row r="920" ht="11.25" customHeight="1">
      <c r="B920" s="31"/>
    </row>
    <row r="921" ht="11.25" customHeight="1">
      <c r="B921" s="31"/>
    </row>
    <row r="922" ht="11.25" customHeight="1">
      <c r="B922" s="31"/>
    </row>
    <row r="923" ht="11.25" customHeight="1">
      <c r="B923" s="31"/>
    </row>
    <row r="924" ht="11.25" customHeight="1">
      <c r="B924" s="31"/>
    </row>
    <row r="925" ht="11.25" customHeight="1">
      <c r="B925" s="31"/>
    </row>
    <row r="926" ht="11.25" customHeight="1">
      <c r="B926" s="31"/>
    </row>
    <row r="927" ht="11.25" customHeight="1">
      <c r="B927" s="31"/>
    </row>
    <row r="928" ht="11.25" customHeight="1">
      <c r="B928" s="31"/>
    </row>
    <row r="929" ht="11.25" customHeight="1">
      <c r="B929" s="31"/>
    </row>
    <row r="930" ht="11.25" customHeight="1">
      <c r="B930" s="31"/>
    </row>
    <row r="931" ht="11.25" customHeight="1">
      <c r="B931" s="31"/>
    </row>
    <row r="932" ht="11.25" customHeight="1">
      <c r="B932" s="31"/>
    </row>
    <row r="933" ht="11.25" customHeight="1">
      <c r="B933" s="31"/>
    </row>
    <row r="934" ht="11.25" customHeight="1">
      <c r="B934" s="31"/>
    </row>
    <row r="935" ht="11.25" customHeight="1">
      <c r="B935" s="31"/>
    </row>
    <row r="936" ht="11.25" customHeight="1">
      <c r="B936" s="31"/>
    </row>
    <row r="937" ht="11.25" customHeight="1">
      <c r="B937" s="31"/>
    </row>
    <row r="938" ht="11.25" customHeight="1">
      <c r="B938" s="31"/>
    </row>
    <row r="939" ht="11.25" customHeight="1">
      <c r="B939" s="31"/>
    </row>
    <row r="940" ht="11.25" customHeight="1">
      <c r="B940" s="31"/>
    </row>
    <row r="941" ht="11.25" customHeight="1">
      <c r="B941" s="31"/>
    </row>
    <row r="942" ht="11.25" customHeight="1">
      <c r="B942" s="31"/>
    </row>
    <row r="943" ht="11.25" customHeight="1">
      <c r="B943" s="31"/>
    </row>
    <row r="944" ht="11.25" customHeight="1">
      <c r="B944" s="31"/>
    </row>
    <row r="945" ht="11.25" customHeight="1">
      <c r="B945" s="31"/>
    </row>
    <row r="946" ht="11.25" customHeight="1">
      <c r="B946" s="31"/>
    </row>
    <row r="947" ht="11.25" customHeight="1">
      <c r="B947" s="31"/>
    </row>
    <row r="948" ht="11.25" customHeight="1">
      <c r="B948" s="31"/>
    </row>
    <row r="949" ht="11.25" customHeight="1">
      <c r="B949" s="31"/>
    </row>
    <row r="950" ht="11.25" customHeight="1">
      <c r="B950" s="31"/>
    </row>
    <row r="951" ht="11.25" customHeight="1">
      <c r="B951" s="31"/>
    </row>
    <row r="952" ht="11.25" customHeight="1">
      <c r="B952" s="31"/>
    </row>
    <row r="953" ht="11.25" customHeight="1">
      <c r="B953" s="31"/>
    </row>
    <row r="954" ht="11.25" customHeight="1">
      <c r="B954" s="31"/>
    </row>
    <row r="955" ht="11.25" customHeight="1">
      <c r="B955" s="31"/>
    </row>
    <row r="956" ht="11.25" customHeight="1">
      <c r="B956" s="31"/>
    </row>
    <row r="957" ht="11.25" customHeight="1">
      <c r="B957" s="31"/>
    </row>
    <row r="958" ht="11.25" customHeight="1">
      <c r="B958" s="31"/>
    </row>
    <row r="959" ht="11.25" customHeight="1">
      <c r="B959" s="31"/>
    </row>
    <row r="960" ht="11.25" customHeight="1">
      <c r="B960" s="31"/>
    </row>
    <row r="961" ht="11.25" customHeight="1">
      <c r="B961" s="31"/>
    </row>
    <row r="962" ht="11.25" customHeight="1">
      <c r="B962" s="31"/>
    </row>
    <row r="963" ht="11.25" customHeight="1">
      <c r="B963" s="31"/>
    </row>
    <row r="964" ht="11.25" customHeight="1">
      <c r="B964" s="31"/>
    </row>
    <row r="965" ht="11.25" customHeight="1">
      <c r="B965" s="31"/>
    </row>
    <row r="966" ht="11.25" customHeight="1">
      <c r="B966" s="31"/>
    </row>
    <row r="967" ht="11.25" customHeight="1">
      <c r="B967" s="31"/>
    </row>
    <row r="968" ht="11.25" customHeight="1">
      <c r="B968" s="31"/>
    </row>
    <row r="969" ht="11.25" customHeight="1">
      <c r="B969" s="31"/>
    </row>
    <row r="970" ht="11.25" customHeight="1">
      <c r="B970" s="31"/>
    </row>
    <row r="971" ht="11.25" customHeight="1">
      <c r="B971" s="31"/>
    </row>
    <row r="972" ht="11.25" customHeight="1">
      <c r="B972" s="31"/>
    </row>
    <row r="973" ht="11.25" customHeight="1">
      <c r="B973" s="31"/>
    </row>
    <row r="974" ht="11.25" customHeight="1">
      <c r="B974" s="31"/>
    </row>
    <row r="975" ht="11.25" customHeight="1">
      <c r="B975" s="31"/>
    </row>
    <row r="976" ht="11.25" customHeight="1">
      <c r="B976" s="31"/>
    </row>
    <row r="977" ht="11.25" customHeight="1">
      <c r="B977" s="31"/>
    </row>
    <row r="978" ht="11.25" customHeight="1">
      <c r="B978" s="31"/>
    </row>
    <row r="979" ht="11.25" customHeight="1">
      <c r="B979" s="31"/>
    </row>
    <row r="980" ht="11.25" customHeight="1">
      <c r="B980" s="31"/>
    </row>
    <row r="981" ht="11.25" customHeight="1">
      <c r="B981" s="31"/>
    </row>
    <row r="982" ht="11.25" customHeight="1">
      <c r="B982" s="31"/>
    </row>
    <row r="983" ht="11.25" customHeight="1">
      <c r="B983" s="31"/>
    </row>
    <row r="984" ht="11.25" customHeight="1">
      <c r="B984" s="31"/>
    </row>
    <row r="985" ht="11.25" customHeight="1">
      <c r="B985" s="31"/>
    </row>
    <row r="986" ht="11.25" customHeight="1">
      <c r="B986" s="31"/>
    </row>
    <row r="987" ht="11.25" customHeight="1">
      <c r="B987" s="31"/>
    </row>
    <row r="988" ht="11.25" customHeight="1">
      <c r="B988" s="31"/>
    </row>
    <row r="989" ht="11.25" customHeight="1">
      <c r="B989" s="31"/>
    </row>
    <row r="990" ht="11.25" customHeight="1">
      <c r="B990" s="31"/>
    </row>
    <row r="991" ht="11.25" customHeight="1">
      <c r="B991" s="31"/>
    </row>
    <row r="992" ht="11.25" customHeight="1">
      <c r="B992" s="31"/>
    </row>
    <row r="993" ht="11.25" customHeight="1">
      <c r="B993" s="31"/>
    </row>
    <row r="994" ht="11.25" customHeight="1">
      <c r="B994" s="31"/>
    </row>
    <row r="995" ht="11.25" customHeight="1">
      <c r="B995" s="31"/>
    </row>
    <row r="996" ht="11.25" customHeight="1">
      <c r="B996" s="31"/>
    </row>
    <row r="997" ht="11.25" customHeight="1">
      <c r="B997" s="31"/>
    </row>
    <row r="998" ht="11.25" customHeight="1">
      <c r="B998" s="31"/>
    </row>
    <row r="999" ht="11.25" customHeight="1">
      <c r="B999" s="31"/>
    </row>
    <row r="1000" ht="11.25" customHeight="1"/>
    <row r="1001" ht="11.25" customHeight="1"/>
    <row r="1002" ht="11.25" customHeight="1"/>
    <row r="1003" ht="11.25" customHeight="1"/>
    <row r="1004" ht="11.25" customHeight="1"/>
    <row r="1005" ht="11.25" customHeight="1"/>
    <row r="1006" ht="11.25" customHeight="1"/>
    <row r="1007" ht="11.25" customHeight="1"/>
    <row r="1008" ht="11.25" customHeight="1"/>
    <row r="1009" ht="11.25" customHeight="1"/>
    <row r="1010" ht="11.25" customHeight="1"/>
    <row r="1011" ht="11.25" customHeight="1"/>
    <row r="1012" ht="11.25" customHeight="1"/>
    <row r="1013" ht="11.25" customHeight="1"/>
    <row r="1014" ht="11.25" customHeight="1"/>
    <row r="1015" ht="11.25" customHeight="1"/>
    <row r="1016" ht="11.25" customHeight="1"/>
    <row r="1017" ht="11.25" customHeight="1"/>
    <row r="1018" ht="11.25" customHeight="1"/>
    <row r="1019" ht="11.25" customHeight="1"/>
    <row r="1020" ht="11.25" customHeight="1"/>
    <row r="1021" ht="11.25" customHeight="1"/>
    <row r="1022" ht="11.25" customHeight="1"/>
    <row r="1023" ht="11.25" customHeight="1"/>
    <row r="1024" ht="11.25" customHeight="1"/>
    <row r="1025" ht="11.25" customHeight="1"/>
    <row r="1026" ht="11.25" customHeight="1"/>
    <row r="1027" ht="11.25" customHeight="1"/>
    <row r="1028" ht="11.25" customHeight="1"/>
    <row r="1029" ht="11.25" customHeight="1"/>
    <row r="1030" ht="11.25" customHeight="1"/>
    <row r="1031" ht="11.25" customHeight="1"/>
    <row r="1032" ht="11.25" customHeight="1"/>
    <row r="1033" ht="11.25" customHeight="1"/>
    <row r="1034" ht="11.25" customHeight="1"/>
    <row r="1035" ht="11.25" customHeight="1"/>
    <row r="1036" ht="11.25" customHeight="1"/>
    <row r="1037" ht="11.25" customHeight="1"/>
    <row r="1038" ht="11.25" customHeight="1"/>
    <row r="1039" ht="11.25" customHeight="1"/>
    <row r="1040" ht="11.25" customHeight="1"/>
    <row r="1041" ht="11.25" customHeight="1"/>
    <row r="1042" ht="11.25" customHeight="1"/>
    <row r="1043" ht="11.25" customHeight="1"/>
    <row r="1044" ht="11.25" customHeight="1"/>
    <row r="1045" ht="11.25" customHeight="1"/>
    <row r="1046" ht="11.25" customHeight="1"/>
    <row r="1047" ht="11.25" customHeight="1"/>
    <row r="1048" ht="11.25" customHeight="1"/>
    <row r="1049" ht="11.25" customHeight="1"/>
    <row r="1050" ht="11.25" customHeight="1"/>
    <row r="1051" ht="11.25" customHeight="1"/>
    <row r="1052" ht="11.25" customHeight="1"/>
    <row r="1053" ht="11.25" customHeight="1"/>
    <row r="1054" ht="11.25" customHeight="1"/>
    <row r="1055" ht="11.25" customHeight="1"/>
    <row r="1056" ht="11.25" customHeight="1"/>
    <row r="1057" ht="11.25" customHeight="1"/>
    <row r="1058" ht="11.25" customHeight="1"/>
    <row r="1059" ht="11.25" customHeight="1"/>
    <row r="1060" ht="11.25" customHeight="1"/>
    <row r="1061" ht="11.25" customHeight="1"/>
    <row r="1062" ht="11.25" customHeight="1"/>
    <row r="1063" ht="11.25" customHeight="1"/>
    <row r="1064" ht="11.25" customHeight="1"/>
    <row r="1065" ht="11.25" customHeight="1"/>
    <row r="1066" ht="11.25" customHeight="1"/>
    <row r="1067" ht="11.25" customHeight="1"/>
    <row r="1068" ht="11.25" customHeight="1"/>
    <row r="1069" ht="11.25" customHeight="1"/>
    <row r="1070" ht="11.25" customHeight="1"/>
    <row r="1071" ht="11.25" customHeight="1"/>
    <row r="1072" ht="11.25" customHeight="1"/>
    <row r="1073" ht="11.25" customHeight="1"/>
    <row r="1074" ht="11.25" customHeight="1"/>
    <row r="1075" ht="11.25" customHeight="1"/>
    <row r="1076" ht="11.25" customHeight="1"/>
    <row r="1077" ht="11.25" customHeight="1"/>
    <row r="1078" ht="11.25" customHeight="1"/>
    <row r="1079" ht="11.25" customHeight="1"/>
    <row r="1080" ht="11.25" customHeight="1"/>
    <row r="1081" ht="11.25" customHeight="1"/>
    <row r="1082" ht="11.25" customHeight="1"/>
    <row r="1083" ht="11.25" customHeight="1"/>
    <row r="1084" ht="11.25" customHeight="1"/>
    <row r="1085" ht="11.25" customHeight="1"/>
    <row r="1086" ht="11.25" customHeight="1"/>
    <row r="1087" ht="11.25" customHeight="1"/>
    <row r="1088" ht="11.25" customHeight="1"/>
    <row r="1089" ht="11.25" customHeight="1"/>
    <row r="1090" ht="11.25" customHeight="1"/>
    <row r="1091" ht="11.25" customHeight="1"/>
    <row r="1092" ht="11.25" customHeight="1"/>
    <row r="1093" ht="11.25" customHeight="1"/>
    <row r="1094" ht="11.25" customHeight="1"/>
    <row r="1095" ht="11.25" customHeight="1"/>
    <row r="1096" ht="11.25" customHeight="1"/>
    <row r="1097" ht="11.25" customHeight="1"/>
    <row r="1098" ht="11.25" customHeight="1"/>
    <row r="1099" ht="11.25" customHeight="1"/>
    <row r="1100" ht="11.25" customHeight="1"/>
    <row r="1101" ht="11.25" customHeight="1"/>
    <row r="1102" ht="11.25" customHeight="1"/>
    <row r="1103" ht="11.25" customHeight="1"/>
    <row r="1104" ht="11.25" customHeight="1"/>
    <row r="1105" ht="11.25" customHeight="1"/>
    <row r="1106" ht="11.25" customHeight="1"/>
    <row r="1107" ht="11.25" customHeight="1"/>
    <row r="1108" ht="11.25" customHeight="1"/>
    <row r="1109" ht="11.25" customHeight="1"/>
    <row r="1110" ht="11.25" customHeight="1"/>
    <row r="1111" ht="11.25" customHeight="1"/>
    <row r="1112" ht="11.25" customHeight="1"/>
    <row r="1113" ht="11.25" customHeight="1"/>
    <row r="1114" ht="11.25" customHeight="1"/>
    <row r="1115" ht="11.25" customHeight="1"/>
    <row r="1116" ht="11.25" customHeight="1"/>
    <row r="1117" ht="11.25" customHeight="1"/>
    <row r="1118" ht="11.25" customHeight="1"/>
    <row r="1119" ht="11.25" customHeight="1"/>
    <row r="1120" ht="11.25" customHeight="1"/>
    <row r="1121" ht="11.25" customHeight="1"/>
    <row r="1122" ht="11.25" customHeight="1"/>
    <row r="1123" ht="11.25" customHeight="1"/>
    <row r="1124" ht="11.25" customHeight="1"/>
    <row r="1125" ht="11.25" customHeight="1"/>
    <row r="1126" ht="11.25" customHeight="1"/>
    <row r="1127" ht="11.25" customHeight="1"/>
    <row r="1128" ht="11.25" customHeight="1"/>
    <row r="1129" ht="11.25" customHeight="1"/>
    <row r="1130" ht="11.25" customHeight="1"/>
    <row r="1131" ht="11.25" customHeight="1"/>
    <row r="1132" ht="11.25" customHeight="1"/>
    <row r="1133" ht="11.25" customHeight="1"/>
    <row r="1134" ht="11.25" customHeight="1"/>
    <row r="1135" ht="11.25" customHeight="1"/>
    <row r="1136" ht="11.25" customHeight="1"/>
    <row r="1137" ht="11.25" customHeight="1"/>
    <row r="1138" ht="11.25" customHeight="1"/>
    <row r="1139" ht="11.25" customHeight="1"/>
    <row r="1140" ht="11.25" customHeight="1"/>
    <row r="1141" ht="11.25" customHeight="1"/>
    <row r="1142" ht="11.25" customHeight="1"/>
    <row r="1143" ht="11.25" customHeight="1"/>
    <row r="1144" ht="11.25" customHeight="1"/>
    <row r="1145" ht="11.25" customHeight="1"/>
    <row r="1146" ht="11.25" customHeight="1"/>
    <row r="1147" ht="11.25" customHeight="1"/>
    <row r="1148" ht="11.25" customHeight="1"/>
    <row r="1149" ht="11.25" customHeight="1"/>
    <row r="1150" ht="11.25" customHeight="1"/>
    <row r="1151" ht="11.25" customHeight="1"/>
    <row r="1152" ht="11.25" customHeight="1"/>
    <row r="1153" ht="11.25" customHeight="1"/>
    <row r="1154" ht="11.25" customHeight="1"/>
    <row r="1155" ht="11.25" customHeight="1"/>
    <row r="1156" ht="11.25" customHeight="1"/>
    <row r="1157" ht="11.25" customHeight="1"/>
    <row r="1158" ht="11.25" customHeight="1"/>
    <row r="1159" ht="11.25" customHeight="1"/>
    <row r="1160" ht="11.25" customHeight="1"/>
    <row r="1161" ht="11.25" customHeight="1"/>
    <row r="1162" ht="11.25" customHeight="1"/>
    <row r="1163" ht="11.25" customHeight="1"/>
    <row r="1164" ht="11.25" customHeight="1"/>
    <row r="1165" ht="11.25" customHeight="1"/>
    <row r="1166" ht="11.25" customHeight="1"/>
    <row r="1167" ht="11.25" customHeight="1"/>
    <row r="1168" ht="11.25" customHeight="1"/>
    <row r="1169" ht="11.25" customHeight="1"/>
    <row r="1170" ht="11.25" customHeight="1"/>
    <row r="1171" ht="11.25" customHeight="1"/>
    <row r="1172" ht="11.25" customHeight="1"/>
    <row r="1173" ht="11.25" customHeight="1"/>
    <row r="1174" ht="11.25" customHeight="1"/>
    <row r="1175" ht="11.25" customHeight="1"/>
    <row r="1176" ht="11.25" customHeight="1"/>
    <row r="1177" ht="11.25" customHeight="1"/>
    <row r="1178" ht="11.25" customHeight="1"/>
    <row r="1179" ht="11.25" customHeight="1"/>
    <row r="1180" ht="11.25" customHeight="1"/>
    <row r="1181" ht="11.25" customHeight="1"/>
    <row r="1182" ht="11.25" customHeight="1"/>
    <row r="1183" ht="11.25" customHeight="1"/>
    <row r="1184" ht="11.25" customHeight="1"/>
    <row r="1185" ht="11.25" customHeight="1"/>
    <row r="1186" ht="11.25" customHeight="1"/>
    <row r="1187" ht="11.25" customHeight="1"/>
    <row r="1188" ht="11.25" customHeight="1"/>
    <row r="1189" ht="11.25" customHeight="1"/>
    <row r="1190" ht="11.25" customHeight="1"/>
    <row r="1191" ht="11.25" customHeight="1"/>
    <row r="1192" ht="11.25" customHeight="1"/>
    <row r="1193" ht="11.25" customHeight="1"/>
    <row r="1194" ht="11.25" customHeight="1"/>
    <row r="1195" ht="11.25" customHeight="1"/>
    <row r="1196" ht="11.25" customHeight="1"/>
    <row r="1197" ht="11.25" customHeight="1"/>
    <row r="1198" ht="11.25" customHeight="1"/>
    <row r="1199" ht="11.25" customHeight="1"/>
    <row r="1200" ht="11.25" customHeight="1"/>
    <row r="1201" ht="11.25" customHeight="1"/>
    <row r="1202" ht="11.25" customHeight="1"/>
    <row r="1203" ht="11.25" customHeight="1"/>
    <row r="1204" ht="11.25" customHeight="1"/>
    <row r="1205" ht="11.25" customHeight="1"/>
    <row r="1206" ht="11.25" customHeight="1"/>
    <row r="1207" ht="11.25" customHeight="1"/>
    <row r="1208" ht="11.25" customHeight="1"/>
    <row r="1209" ht="11.25" customHeight="1"/>
    <row r="1210" ht="11.25" customHeight="1"/>
    <row r="1211" ht="11.25" customHeight="1"/>
    <row r="1212" ht="11.25" customHeight="1"/>
    <row r="1213" ht="11.25" customHeight="1"/>
    <row r="1214" ht="11.25" customHeight="1"/>
    <row r="1215" ht="11.25" customHeight="1"/>
    <row r="1216" ht="11.25" customHeight="1"/>
    <row r="1217" ht="11.25" customHeight="1"/>
    <row r="1218" ht="11.25" customHeight="1"/>
    <row r="1219" ht="11.25" customHeight="1"/>
    <row r="1220" ht="11.25" customHeight="1"/>
    <row r="1221" ht="11.25" customHeight="1"/>
    <row r="1222" ht="11.25" customHeight="1"/>
    <row r="1223" ht="11.25" customHeight="1"/>
    <row r="1224" ht="11.25" customHeight="1"/>
    <row r="1225" ht="11.25" customHeight="1"/>
    <row r="1226" ht="11.25" customHeight="1"/>
    <row r="1227" ht="11.25" customHeight="1"/>
    <row r="1228" ht="11.25" customHeight="1"/>
    <row r="1229" ht="11.25" customHeight="1"/>
    <row r="1230" ht="11.25" customHeight="1"/>
    <row r="1231" ht="11.25" customHeight="1"/>
    <row r="1232" ht="11.25" customHeight="1"/>
    <row r="1233" ht="11.25" customHeight="1"/>
    <row r="1234" ht="11.25" customHeight="1"/>
    <row r="1235" ht="11.25" customHeight="1"/>
    <row r="1236" ht="11.25" customHeight="1"/>
    <row r="1237" ht="11.25" customHeight="1"/>
    <row r="1238" ht="11.25" customHeight="1"/>
    <row r="1239" ht="11.25" customHeight="1"/>
    <row r="1240" ht="11.25" customHeight="1"/>
    <row r="1241" ht="11.25" customHeight="1"/>
    <row r="1242" ht="11.25" customHeight="1"/>
    <row r="1243" ht="11.25" customHeight="1"/>
    <row r="1244" ht="11.25" customHeight="1"/>
    <row r="1245" ht="11.25" customHeight="1"/>
    <row r="1246" ht="11.25" customHeight="1"/>
    <row r="1247" ht="11.25" customHeight="1"/>
    <row r="1248" ht="11.25" customHeight="1"/>
    <row r="1249" ht="11.25" customHeight="1"/>
    <row r="1250" ht="11.25" customHeight="1"/>
    <row r="1251" ht="11.25" customHeight="1"/>
    <row r="1252" ht="11.25" customHeight="1"/>
    <row r="1253" ht="11.25" customHeight="1"/>
    <row r="1254" ht="11.25" customHeight="1"/>
    <row r="1255" ht="11.25" customHeight="1"/>
    <row r="1256" ht="11.25" customHeight="1"/>
    <row r="1257" ht="11.25" customHeight="1"/>
    <row r="1258" ht="11.25" customHeight="1"/>
    <row r="1259" ht="11.25" customHeight="1"/>
    <row r="1260" ht="11.25" customHeight="1"/>
    <row r="1261" ht="11.25" customHeight="1"/>
    <row r="1262" ht="11.25" customHeight="1"/>
    <row r="1263" ht="11.25" customHeight="1"/>
    <row r="1264" ht="11.25" customHeight="1"/>
    <row r="1265" ht="11.25" customHeight="1"/>
    <row r="1266" ht="11.25" customHeight="1"/>
    <row r="1267" ht="11.25" customHeight="1"/>
    <row r="1268" ht="11.25" customHeight="1"/>
    <row r="1269" ht="11.25" customHeight="1"/>
    <row r="1270" ht="11.25" customHeight="1"/>
    <row r="1271" ht="11.25" customHeight="1"/>
    <row r="1272" ht="11.25" customHeight="1"/>
    <row r="1273" ht="11.25" customHeight="1"/>
    <row r="1274" ht="11.25" customHeight="1"/>
    <row r="1275" ht="11.25" customHeight="1"/>
    <row r="1276" ht="11.25" customHeight="1"/>
    <row r="1277" ht="11.25" customHeight="1"/>
    <row r="1278" ht="11.25" customHeight="1"/>
    <row r="1279" ht="11.25" customHeight="1"/>
    <row r="1280" ht="11.25" customHeight="1"/>
    <row r="1281" ht="11.25" customHeight="1"/>
    <row r="1282" ht="11.25" customHeight="1"/>
    <row r="1283" ht="11.25" customHeight="1"/>
    <row r="1284" ht="11.25" customHeight="1"/>
    <row r="1285" ht="11.25" customHeight="1"/>
    <row r="1286" ht="11.25" customHeight="1"/>
    <row r="1287" ht="11.25" customHeight="1"/>
    <row r="1288" ht="11.25" customHeight="1"/>
    <row r="1289" ht="11.25" customHeight="1"/>
    <row r="1290" ht="11.25" customHeight="1"/>
    <row r="1291" ht="11.25" customHeight="1"/>
    <row r="1292" ht="11.25" customHeight="1"/>
    <row r="1293" ht="11.25" customHeight="1"/>
    <row r="1294" ht="11.25" customHeight="1"/>
    <row r="1295" ht="11.25" customHeight="1"/>
    <row r="1296" ht="11.25" customHeight="1"/>
    <row r="1297" ht="11.25" customHeight="1"/>
    <row r="1298" ht="11.25" customHeight="1"/>
    <row r="1299" ht="11.25" customHeight="1"/>
    <row r="1300" ht="11.25" customHeight="1"/>
    <row r="1301" ht="11.25" customHeight="1"/>
    <row r="1302" ht="11.25" customHeight="1"/>
    <row r="1303" ht="11.25" customHeight="1"/>
    <row r="1304" ht="11.25" customHeight="1"/>
    <row r="1305" ht="11.25" customHeight="1"/>
    <row r="1306" ht="11.25" customHeight="1"/>
    <row r="1307" ht="11.25" customHeight="1"/>
    <row r="1308" ht="11.25" customHeight="1"/>
    <row r="1309" ht="11.25" customHeight="1"/>
    <row r="1310" ht="11.25" customHeight="1"/>
    <row r="1311" ht="11.25" customHeight="1"/>
    <row r="1312" ht="11.25" customHeight="1"/>
    <row r="1313" ht="11.25" customHeight="1"/>
    <row r="1314" ht="11.25" customHeight="1"/>
    <row r="1315" ht="11.25" customHeight="1"/>
    <row r="1316" ht="11.25" customHeight="1"/>
    <row r="1317" ht="11.25" customHeight="1"/>
    <row r="1318" ht="11.25" customHeight="1"/>
    <row r="1319" ht="11.25" customHeight="1"/>
    <row r="1320" ht="11.25" customHeight="1"/>
    <row r="1321" ht="11.25" customHeight="1"/>
    <row r="1322" ht="11.25" customHeight="1"/>
    <row r="1323" ht="11.25" customHeight="1"/>
    <row r="1324" ht="11.25" customHeight="1"/>
    <row r="1325" ht="11.25" customHeight="1"/>
    <row r="1326" ht="11.25" customHeight="1"/>
    <row r="1327" ht="11.25" customHeight="1"/>
    <row r="1328" ht="11.25" customHeight="1"/>
    <row r="1329" ht="11.25" customHeight="1"/>
    <row r="1330" ht="11.25" customHeight="1"/>
    <row r="1331" ht="11.25" customHeight="1"/>
    <row r="1332" ht="11.25" customHeight="1"/>
    <row r="1333" ht="11.25" customHeight="1"/>
    <row r="1334" ht="11.25" customHeight="1"/>
    <row r="1335" ht="11.25" customHeight="1"/>
    <row r="1336" ht="11.25" customHeight="1"/>
    <row r="1337" ht="11.25" customHeight="1"/>
    <row r="1338" ht="11.25" customHeight="1"/>
    <row r="1339" ht="11.25" customHeight="1"/>
    <row r="1340" ht="11.25" customHeight="1"/>
    <row r="1341" ht="11.25" customHeight="1"/>
    <row r="1342" ht="11.25" customHeight="1"/>
    <row r="1343" ht="11.25" customHeight="1"/>
    <row r="1344" ht="11.25" customHeight="1"/>
    <row r="1345" ht="11.25" customHeight="1"/>
    <row r="1346" ht="11.25" customHeight="1"/>
    <row r="1347" ht="11.25" customHeight="1"/>
    <row r="1348" ht="11.25" customHeight="1"/>
    <row r="1349" ht="11.25" customHeight="1"/>
    <row r="1350" ht="11.25" customHeight="1"/>
    <row r="1351" ht="11.25" customHeight="1"/>
    <row r="1352" ht="11.25" customHeight="1"/>
    <row r="1353" ht="11.25" customHeight="1"/>
    <row r="1354" ht="11.25" customHeight="1"/>
    <row r="1355" ht="11.25" customHeight="1"/>
    <row r="1356" ht="11.25" customHeight="1"/>
    <row r="1357" ht="11.25" customHeight="1"/>
    <row r="1358" ht="11.25" customHeight="1"/>
    <row r="1359" ht="11.25" customHeight="1"/>
    <row r="1360" ht="11.25" customHeight="1"/>
    <row r="1361" ht="11.25" customHeight="1"/>
    <row r="1362" ht="11.25" customHeight="1"/>
    <row r="1363" ht="11.25" customHeight="1"/>
    <row r="1364" ht="11.25" customHeight="1"/>
    <row r="1365" ht="11.25" customHeight="1"/>
    <row r="1366" ht="11.25" customHeight="1"/>
    <row r="1367" ht="11.25" customHeight="1"/>
    <row r="1368" ht="11.25" customHeight="1"/>
    <row r="1369" ht="11.25" customHeight="1"/>
    <row r="1370" ht="11.25" customHeight="1"/>
    <row r="1371" ht="11.25" customHeight="1"/>
    <row r="1372" ht="11.25" customHeight="1"/>
    <row r="1373" ht="11.25" customHeight="1"/>
    <row r="1374" ht="11.25" customHeight="1"/>
    <row r="1375" ht="11.25" customHeight="1"/>
    <row r="1376" ht="11.25" customHeight="1"/>
    <row r="1377" ht="11.25" customHeight="1"/>
    <row r="1378" ht="11.25" customHeight="1"/>
    <row r="1379" ht="11.25" customHeight="1"/>
    <row r="1380" ht="11.25" customHeight="1"/>
    <row r="1381" ht="11.25" customHeight="1"/>
    <row r="1382" ht="11.25" customHeight="1"/>
    <row r="1383" ht="11.25" customHeight="1"/>
    <row r="1384" ht="11.25" customHeight="1"/>
    <row r="1385" ht="11.25" customHeight="1"/>
    <row r="1386" ht="11.25" customHeight="1"/>
    <row r="1387" ht="11.25" customHeight="1"/>
    <row r="1388" ht="11.25" customHeight="1"/>
    <row r="1389" ht="11.25" customHeight="1"/>
    <row r="1390" ht="11.25" customHeight="1"/>
    <row r="1391" ht="11.25" customHeight="1"/>
    <row r="1392" ht="11.25" customHeight="1"/>
    <row r="1393" ht="11.25" customHeight="1"/>
    <row r="1394" ht="11.25" customHeight="1"/>
    <row r="1395" ht="11.25" customHeight="1"/>
    <row r="1396" ht="11.25" customHeight="1"/>
    <row r="1397" ht="11.25" customHeight="1"/>
    <row r="1398" ht="11.25" customHeight="1"/>
    <row r="1399" ht="11.25" customHeight="1"/>
    <row r="1400" ht="11.25" customHeight="1"/>
    <row r="1401" ht="11.25" customHeight="1"/>
    <row r="1402" ht="11.25" customHeight="1"/>
    <row r="1403" ht="11.25" customHeight="1"/>
    <row r="1404" ht="11.25" customHeight="1"/>
    <row r="1405" ht="11.25" customHeight="1"/>
    <row r="1406" ht="11.25" customHeight="1"/>
    <row r="1407" ht="11.25" customHeight="1"/>
    <row r="1408" ht="11.25" customHeight="1"/>
    <row r="1409" ht="11.25" customHeight="1"/>
    <row r="1410" ht="11.25" customHeight="1"/>
    <row r="1411" ht="11.25" customHeight="1"/>
    <row r="1412" ht="11.25" customHeight="1"/>
    <row r="1413" ht="11.25" customHeight="1"/>
    <row r="1414" ht="11.25" customHeight="1"/>
    <row r="1415" ht="11.25" customHeight="1"/>
    <row r="1416" ht="11.25" customHeight="1"/>
    <row r="1417" ht="11.25" customHeight="1"/>
    <row r="1418" ht="11.25" customHeight="1"/>
    <row r="1419" ht="11.25" customHeight="1"/>
    <row r="1420" ht="11.25" customHeight="1"/>
    <row r="1421" ht="11.25" customHeight="1"/>
    <row r="1422" ht="11.25" customHeight="1"/>
    <row r="1423" ht="11.25" customHeight="1"/>
    <row r="1424" ht="11.25" customHeight="1"/>
    <row r="1425" ht="11.25" customHeight="1"/>
    <row r="1426" ht="11.25" customHeight="1"/>
    <row r="1427" ht="11.25" customHeight="1"/>
    <row r="1428" ht="11.25" customHeight="1"/>
    <row r="1429" ht="11.25" customHeight="1"/>
    <row r="1430" ht="11.25" customHeight="1"/>
    <row r="1431" ht="11.25" customHeight="1"/>
    <row r="1432" ht="11.25" customHeight="1"/>
    <row r="1433" ht="11.25" customHeight="1"/>
    <row r="1434" ht="11.25" customHeight="1"/>
    <row r="1435" ht="11.25" customHeight="1"/>
    <row r="1436" ht="11.25" customHeight="1"/>
    <row r="1437" ht="11.25" customHeight="1"/>
    <row r="1438" ht="11.25" customHeight="1"/>
    <row r="1439" ht="11.25" customHeight="1"/>
    <row r="1440" ht="11.25" customHeight="1"/>
    <row r="1441" ht="11.25" customHeight="1"/>
    <row r="1442" ht="11.25" customHeight="1"/>
    <row r="1443" ht="11.25" customHeight="1"/>
    <row r="1444" ht="11.25" customHeight="1"/>
    <row r="1445" ht="11.25" customHeight="1"/>
    <row r="1446" ht="11.25" customHeight="1"/>
    <row r="1447" ht="11.25" customHeight="1"/>
    <row r="1448" ht="11.25" customHeight="1"/>
    <row r="1449" ht="11.25" customHeight="1"/>
    <row r="1450" ht="11.25" customHeight="1"/>
    <row r="1451" ht="11.25" customHeight="1"/>
    <row r="1452" ht="11.25" customHeight="1"/>
    <row r="1453" ht="11.25" customHeight="1"/>
    <row r="1454" ht="11.25" customHeight="1"/>
    <row r="1455" ht="11.25" customHeight="1"/>
    <row r="1456" ht="11.25" customHeight="1"/>
    <row r="1457" ht="11.25" customHeight="1"/>
    <row r="1458" ht="11.25" customHeight="1"/>
    <row r="1459" ht="11.25" customHeight="1"/>
    <row r="1460" ht="11.25" customHeight="1"/>
    <row r="1461" ht="11.25" customHeight="1"/>
    <row r="1462" ht="11.25" customHeight="1"/>
    <row r="1463" ht="11.25" customHeight="1"/>
    <row r="1464" ht="11.25" customHeight="1"/>
    <row r="1465" ht="11.25" customHeight="1"/>
    <row r="1466" ht="11.25" customHeight="1"/>
    <row r="1467" ht="11.25" customHeight="1"/>
    <row r="1468" ht="11.25" customHeight="1"/>
    <row r="1469" ht="11.25" customHeight="1"/>
    <row r="1470" ht="11.25" customHeight="1"/>
    <row r="1471" ht="11.25" customHeight="1"/>
    <row r="1472" ht="11.25" customHeight="1"/>
    <row r="1473" ht="11.25" customHeight="1"/>
    <row r="1474" ht="11.25" customHeight="1"/>
    <row r="1475" ht="11.25" customHeight="1"/>
    <row r="1476" ht="11.25" customHeight="1"/>
    <row r="1477" ht="11.25" customHeight="1"/>
    <row r="1478" ht="11.25" customHeight="1"/>
    <row r="1479" ht="11.25" customHeight="1"/>
    <row r="1480" ht="11.25" customHeight="1"/>
    <row r="1481" ht="11.25" customHeight="1"/>
    <row r="1482" ht="11.25" customHeight="1"/>
    <row r="1483" ht="11.25" customHeight="1"/>
    <row r="1484" ht="11.25" customHeight="1"/>
    <row r="1485" ht="11.25" customHeight="1"/>
    <row r="1486" ht="11.25" customHeight="1"/>
    <row r="1487" ht="11.25" customHeight="1"/>
    <row r="1488" ht="11.25" customHeight="1"/>
    <row r="1489" ht="11.25" customHeight="1"/>
    <row r="1490" ht="11.25" customHeight="1"/>
    <row r="1491" ht="11.25" customHeight="1"/>
    <row r="1492" ht="11.25" customHeight="1"/>
    <row r="1493" ht="11.25" customHeight="1"/>
    <row r="1494" ht="11.25" customHeight="1"/>
    <row r="1495" ht="11.25" customHeight="1"/>
    <row r="1496" ht="11.25" customHeight="1"/>
    <row r="1497" ht="11.25" customHeight="1"/>
    <row r="1498" ht="11.25" customHeight="1"/>
    <row r="1499" ht="11.25" customHeight="1"/>
    <row r="1500" ht="11.25" customHeight="1"/>
    <row r="1501" ht="11.25" customHeight="1"/>
    <row r="1502" ht="11.25" customHeight="1"/>
    <row r="1503" ht="11.25" customHeight="1"/>
    <row r="1504" ht="11.25" customHeight="1"/>
    <row r="1505" ht="11.25" customHeight="1"/>
    <row r="1506" ht="11.25" customHeight="1"/>
    <row r="1507" ht="11.25" customHeight="1"/>
    <row r="1508" ht="11.25" customHeight="1"/>
    <row r="1509" ht="11.25" customHeight="1"/>
    <row r="1510" ht="11.25" customHeight="1"/>
    <row r="1511" ht="11.25" customHeight="1"/>
    <row r="1512" ht="11.25" customHeight="1"/>
    <row r="1513" ht="11.25" customHeight="1"/>
    <row r="1514" ht="11.25" customHeight="1"/>
    <row r="1515" ht="11.25" customHeight="1"/>
    <row r="1516" ht="11.25" customHeight="1"/>
    <row r="1517" ht="11.25" customHeight="1"/>
    <row r="1518" ht="11.25" customHeight="1"/>
    <row r="1519" ht="11.25" customHeight="1"/>
    <row r="1520" ht="11.25" customHeight="1"/>
    <row r="1521" ht="11.25" customHeight="1"/>
    <row r="1522" ht="11.25" customHeight="1"/>
    <row r="1523" ht="11.25" customHeight="1"/>
    <row r="1524" ht="11.25" customHeight="1"/>
    <row r="1525" ht="11.25" customHeight="1"/>
    <row r="1526" ht="11.25" customHeight="1"/>
    <row r="1527" ht="11.25" customHeight="1"/>
    <row r="1528" ht="11.25" customHeight="1"/>
    <row r="1529" ht="11.25" customHeight="1"/>
    <row r="1530" ht="11.25" customHeight="1"/>
    <row r="1531" ht="11.25" customHeight="1"/>
    <row r="1532" ht="11.25" customHeight="1"/>
    <row r="1533" ht="11.25" customHeight="1"/>
    <row r="1534" ht="11.25" customHeight="1"/>
    <row r="1535" ht="11.25" customHeight="1"/>
    <row r="1536" ht="11.25" customHeight="1"/>
    <row r="1537" ht="11.25" customHeight="1"/>
    <row r="1538" ht="11.25" customHeight="1"/>
    <row r="1539" ht="11.25" customHeight="1"/>
    <row r="1540" ht="11.25" customHeight="1"/>
    <row r="1541" ht="11.25" customHeight="1"/>
    <row r="1542" ht="11.25" customHeight="1"/>
    <row r="1543" ht="11.25" customHeight="1"/>
    <row r="1544" ht="11.25" customHeight="1"/>
    <row r="1545" ht="11.25" customHeight="1"/>
    <row r="1546" ht="11.25" customHeight="1"/>
    <row r="1547" ht="11.25" customHeight="1"/>
    <row r="1548" ht="11.25" customHeight="1"/>
    <row r="1549" ht="11.25" customHeight="1"/>
    <row r="1550" ht="11.25" customHeight="1"/>
    <row r="1551" ht="11.25" customHeight="1"/>
    <row r="1552" ht="11.25" customHeight="1"/>
    <row r="1553" ht="11.25" customHeight="1"/>
    <row r="1554" ht="11.25" customHeight="1"/>
    <row r="1555" ht="11.25" customHeight="1"/>
    <row r="1556" ht="11.25" customHeight="1"/>
    <row r="1557" ht="11.25" customHeight="1"/>
    <row r="1558" ht="11.25" customHeight="1"/>
    <row r="1559" ht="11.25" customHeight="1"/>
    <row r="1560" ht="11.25" customHeight="1"/>
    <row r="1561" ht="11.25" customHeight="1"/>
    <row r="1562" ht="11.25" customHeight="1"/>
    <row r="1563" ht="11.25" customHeight="1"/>
    <row r="1564" ht="11.25" customHeight="1"/>
    <row r="1565" ht="11.25" customHeight="1"/>
    <row r="1566" ht="11.25" customHeight="1"/>
    <row r="1567" ht="11.25" customHeight="1"/>
    <row r="1568" ht="11.25" customHeight="1"/>
    <row r="1569" ht="11.25" customHeight="1"/>
    <row r="1570" ht="11.25" customHeight="1"/>
    <row r="1571" ht="11.25" customHeight="1"/>
    <row r="1572" ht="11.25" customHeight="1"/>
    <row r="1573" ht="11.25" customHeight="1"/>
    <row r="1574" ht="11.25" customHeight="1"/>
    <row r="1575" ht="11.25" customHeight="1"/>
    <row r="1576" ht="11.25" customHeight="1"/>
    <row r="1577" ht="11.25" customHeight="1"/>
    <row r="1578" ht="11.25" customHeight="1"/>
    <row r="1579" ht="11.25" customHeight="1"/>
    <row r="1580" ht="11.25" customHeight="1"/>
    <row r="1581" ht="11.25" customHeight="1"/>
    <row r="1582" ht="11.25" customHeight="1"/>
    <row r="1583" ht="11.25" customHeight="1"/>
    <row r="1584" ht="11.25" customHeight="1"/>
    <row r="1585" ht="11.25" customHeight="1"/>
    <row r="1586" ht="11.25" customHeight="1"/>
    <row r="1587" ht="11.25" customHeight="1"/>
    <row r="1588" ht="11.25" customHeight="1"/>
    <row r="1589" ht="11.25" customHeight="1"/>
    <row r="1590" ht="11.25" customHeight="1"/>
    <row r="1591" ht="11.25" customHeight="1"/>
    <row r="1592" ht="11.25" customHeight="1"/>
    <row r="1593" ht="11.25" customHeight="1"/>
    <row r="1594" ht="11.25" customHeight="1"/>
    <row r="1595" ht="11.25" customHeight="1"/>
    <row r="1596" ht="11.25" customHeight="1"/>
    <row r="1597" ht="11.25" customHeight="1"/>
    <row r="1598" ht="11.25" customHeight="1"/>
    <row r="1599" ht="11.25" customHeight="1"/>
    <row r="1600" ht="11.25" customHeight="1"/>
    <row r="1601" ht="11.25" customHeight="1"/>
    <row r="1602" ht="11.25" customHeight="1"/>
    <row r="1603" ht="11.25" customHeight="1"/>
    <row r="1604" ht="11.25" customHeight="1"/>
    <row r="1605" ht="11.25" customHeight="1"/>
    <row r="1606" ht="11.25" customHeight="1"/>
    <row r="1607" ht="11.25" customHeight="1"/>
    <row r="1608" ht="11.25" customHeight="1"/>
    <row r="1609" ht="11.25" customHeight="1"/>
    <row r="1610" ht="11.25" customHeight="1"/>
    <row r="1611" ht="11.25" customHeight="1"/>
    <row r="1612" ht="11.25" customHeight="1"/>
    <row r="1613" ht="11.25" customHeight="1"/>
    <row r="1614" ht="11.25" customHeight="1"/>
    <row r="1615" ht="11.25" customHeight="1"/>
    <row r="1616" ht="11.25" customHeight="1"/>
    <row r="1617" ht="11.25" customHeight="1"/>
    <row r="1618" ht="11.25" customHeight="1"/>
    <row r="1619" ht="11.25" customHeight="1"/>
    <row r="1620" ht="11.25" customHeight="1"/>
    <row r="1621" ht="11.25" customHeight="1"/>
    <row r="1622" ht="11.25" customHeight="1"/>
    <row r="1623" ht="11.25" customHeight="1"/>
    <row r="1624" ht="11.25" customHeight="1"/>
    <row r="1625" ht="11.25" customHeight="1"/>
    <row r="1626" ht="11.25" customHeight="1"/>
    <row r="1627" ht="11.25" customHeight="1"/>
    <row r="1628" ht="11.25" customHeight="1"/>
    <row r="1629" ht="11.25" customHeight="1"/>
    <row r="1630" ht="11.25" customHeight="1"/>
    <row r="1631" ht="11.25" customHeight="1"/>
    <row r="1632" ht="11.25" customHeight="1"/>
    <row r="1633" ht="11.25" customHeight="1"/>
    <row r="1634" ht="11.25" customHeight="1"/>
    <row r="1635" ht="11.25" customHeight="1"/>
    <row r="1636" ht="11.25" customHeight="1"/>
    <row r="1637" ht="11.25" customHeight="1"/>
    <row r="1638" ht="11.25" customHeight="1"/>
    <row r="1639" ht="11.25" customHeight="1"/>
    <row r="1640" ht="11.25" customHeight="1"/>
    <row r="1641" ht="11.25" customHeight="1"/>
    <row r="1642" ht="11.25" customHeight="1"/>
    <row r="1643" ht="11.25" customHeight="1"/>
    <row r="1644" ht="11.25" customHeight="1"/>
    <row r="1645" ht="11.25" customHeight="1"/>
    <row r="1646" ht="11.25" customHeight="1"/>
    <row r="1647" ht="11.25" customHeight="1"/>
    <row r="1648" ht="11.25" customHeight="1"/>
    <row r="1649" ht="11.25" customHeight="1"/>
    <row r="1650" ht="11.25" customHeight="1"/>
    <row r="1651" ht="11.25" customHeight="1"/>
    <row r="1652" ht="11.25" customHeight="1"/>
    <row r="1653" ht="11.25" customHeight="1"/>
    <row r="1654" ht="11.25" customHeight="1"/>
    <row r="1655" ht="11.25" customHeight="1"/>
    <row r="1656" ht="11.25" customHeight="1"/>
    <row r="1657" ht="11.25" customHeight="1"/>
    <row r="1658" ht="11.25" customHeight="1"/>
    <row r="1659" ht="11.25" customHeight="1"/>
    <row r="1660" ht="11.25" customHeight="1"/>
    <row r="1661" ht="11.25" customHeight="1"/>
    <row r="1662" ht="11.25" customHeight="1"/>
    <row r="1663" ht="11.25" customHeight="1"/>
    <row r="1664" ht="11.25" customHeight="1"/>
    <row r="1665" ht="11.25" customHeight="1"/>
    <row r="1666" ht="11.25" customHeight="1"/>
    <row r="1667" ht="11.25" customHeight="1"/>
    <row r="1668" ht="11.25" customHeight="1"/>
    <row r="1669" ht="11.25" customHeight="1"/>
    <row r="1670" ht="11.25" customHeight="1"/>
    <row r="1671" ht="11.25" customHeight="1"/>
    <row r="1672" ht="11.25" customHeight="1"/>
    <row r="1673" ht="11.25" customHeight="1"/>
    <row r="1674" ht="11.25" customHeight="1"/>
    <row r="1675" ht="11.25" customHeight="1"/>
    <row r="1676" ht="11.25" customHeight="1"/>
    <row r="1677" ht="11.25" customHeight="1"/>
    <row r="1678" ht="11.25" customHeight="1"/>
    <row r="1679" ht="11.25" customHeight="1"/>
    <row r="1680" ht="11.25" customHeight="1"/>
    <row r="1681" ht="11.25" customHeight="1"/>
    <row r="1682" ht="11.25" customHeight="1"/>
    <row r="1683" ht="11.25" customHeight="1"/>
    <row r="1684" ht="11.25" customHeight="1"/>
    <row r="1685" ht="11.25" customHeight="1"/>
    <row r="1686" ht="11.25" customHeight="1"/>
    <row r="1687" ht="11.25" customHeight="1"/>
    <row r="1688" ht="11.25" customHeight="1"/>
    <row r="1689" ht="11.25" customHeight="1"/>
    <row r="1690" ht="11.25" customHeight="1"/>
    <row r="1691" ht="11.25" customHeight="1"/>
    <row r="1692" ht="11.25" customHeight="1"/>
    <row r="1693" ht="11.25" customHeight="1"/>
    <row r="1694" ht="11.25" customHeight="1"/>
    <row r="1695" ht="11.25" customHeight="1"/>
    <row r="1696" ht="11.25" customHeight="1"/>
    <row r="1697" ht="11.25" customHeight="1"/>
    <row r="1698" ht="11.25" customHeight="1"/>
    <row r="1699" ht="11.25" customHeight="1"/>
    <row r="1700" ht="11.25" customHeight="1"/>
    <row r="1701" ht="11.25" customHeight="1"/>
    <row r="1702" ht="11.25" customHeight="1"/>
    <row r="1703" ht="11.25" customHeight="1"/>
    <row r="1704" ht="11.25" customHeight="1"/>
    <row r="1705" ht="11.25" customHeight="1"/>
    <row r="1706" ht="11.25" customHeight="1"/>
    <row r="1707" ht="11.25" customHeight="1"/>
    <row r="1708" ht="11.25" customHeight="1"/>
    <row r="1709" ht="11.25" customHeight="1"/>
    <row r="1710" ht="11.25" customHeight="1"/>
    <row r="1711" ht="11.25" customHeight="1"/>
    <row r="1712" ht="11.25" customHeight="1"/>
    <row r="1713" ht="11.25" customHeight="1"/>
    <row r="1714" ht="11.25" customHeight="1"/>
    <row r="1715" ht="11.25" customHeight="1"/>
    <row r="1716" ht="11.25" customHeight="1"/>
    <row r="1717" ht="11.25" customHeight="1"/>
    <row r="1718" ht="11.25" customHeight="1"/>
    <row r="1719" ht="11.25" customHeight="1"/>
    <row r="1720" ht="11.25" customHeight="1"/>
    <row r="1721" ht="11.25" customHeight="1"/>
    <row r="1722" ht="11.25" customHeight="1"/>
    <row r="1723" ht="11.25" customHeight="1"/>
    <row r="1724" ht="11.25" customHeight="1"/>
    <row r="1725" ht="11.25" customHeight="1"/>
    <row r="1726" ht="11.25" customHeight="1"/>
    <row r="1727" ht="11.25" customHeight="1"/>
    <row r="1728" ht="11.25" customHeight="1"/>
    <row r="1729" ht="11.25" customHeight="1"/>
    <row r="1730" ht="11.25" customHeight="1"/>
    <row r="1731" ht="11.25" customHeight="1"/>
    <row r="1732" ht="11.25" customHeight="1"/>
    <row r="1733" ht="11.25" customHeight="1"/>
    <row r="1734" ht="11.25" customHeight="1"/>
    <row r="1735" ht="11.25" customHeight="1"/>
    <row r="1736" ht="11.25" customHeight="1"/>
    <row r="1737" ht="11.25" customHeight="1"/>
    <row r="1738" ht="11.25" customHeight="1"/>
    <row r="1739" ht="11.25" customHeight="1"/>
    <row r="1740" ht="11.25" customHeight="1"/>
    <row r="1741" ht="11.25" customHeight="1"/>
    <row r="1742" ht="11.25" customHeight="1"/>
    <row r="1743" ht="11.25" customHeight="1"/>
    <row r="1744" ht="11.25" customHeight="1"/>
    <row r="1745" ht="11.25" customHeight="1"/>
    <row r="1746" ht="11.25" customHeight="1"/>
    <row r="1747" ht="11.25" customHeight="1"/>
    <row r="1748" ht="11.25" customHeight="1"/>
    <row r="1749" ht="11.25" customHeight="1"/>
    <row r="1750" ht="11.25" customHeight="1"/>
    <row r="1751" ht="11.25" customHeight="1"/>
    <row r="1752" ht="11.25" customHeight="1"/>
    <row r="1753" ht="11.25" customHeight="1"/>
    <row r="1754" ht="11.25" customHeight="1"/>
    <row r="1755" ht="11.25" customHeight="1"/>
    <row r="1756" ht="11.25" customHeight="1"/>
    <row r="1757" ht="11.25" customHeight="1"/>
    <row r="1758" ht="11.25" customHeight="1"/>
    <row r="1759" ht="11.25" customHeight="1"/>
    <row r="1760" ht="11.25" customHeight="1"/>
    <row r="1761" ht="11.25" customHeight="1"/>
    <row r="1762" ht="11.25" customHeight="1"/>
    <row r="1763" ht="11.25" customHeight="1"/>
    <row r="1764" ht="11.25" customHeight="1"/>
    <row r="1765" ht="11.25" customHeight="1"/>
    <row r="1766" ht="11.25" customHeight="1"/>
    <row r="1767" ht="11.25" customHeight="1"/>
    <row r="1768" ht="11.25" customHeight="1"/>
    <row r="1769" ht="11.25" customHeight="1"/>
    <row r="1770" ht="11.25" customHeight="1"/>
    <row r="1771" ht="11.25" customHeight="1"/>
    <row r="1772" ht="11.25" customHeight="1"/>
    <row r="1773" ht="11.25" customHeight="1"/>
    <row r="1774" ht="11.25" customHeight="1"/>
    <row r="1775" ht="11.25" customHeight="1"/>
    <row r="1776" ht="11.25" customHeight="1"/>
    <row r="1777" ht="11.25" customHeight="1"/>
    <row r="1778" ht="11.25" customHeight="1"/>
    <row r="1779" ht="11.25" customHeight="1"/>
    <row r="1780" ht="11.25" customHeight="1"/>
    <row r="1781" ht="11.25" customHeight="1"/>
    <row r="1782" ht="11.25" customHeight="1"/>
    <row r="1783" ht="11.25" customHeight="1"/>
    <row r="1784" ht="11.25" customHeight="1"/>
    <row r="1785" ht="11.25" customHeight="1"/>
    <row r="1786" ht="11.25" customHeight="1"/>
    <row r="1787" ht="11.25" customHeight="1"/>
    <row r="1788" ht="11.25" customHeight="1"/>
    <row r="1789" ht="11.25" customHeight="1"/>
    <row r="1790" ht="11.25" customHeight="1"/>
    <row r="1791" ht="11.25" customHeight="1"/>
    <row r="1792" ht="11.25" customHeight="1"/>
    <row r="1793" ht="11.25" customHeight="1"/>
    <row r="1794" ht="11.25" customHeight="1"/>
    <row r="1795" ht="11.25" customHeight="1"/>
    <row r="1796" ht="11.25" customHeight="1"/>
    <row r="1797" ht="11.25" customHeight="1"/>
    <row r="1798" ht="11.25" customHeight="1"/>
    <row r="1799" ht="11.25" customHeight="1"/>
    <row r="1800" ht="11.25" customHeight="1"/>
    <row r="1801" ht="11.25" customHeight="1"/>
    <row r="1802" ht="11.25" customHeight="1"/>
    <row r="1803" ht="11.25" customHeight="1"/>
    <row r="1804" ht="11.25" customHeight="1"/>
    <row r="1805" ht="11.25" customHeight="1"/>
    <row r="1806" ht="11.25" customHeight="1"/>
    <row r="1807" ht="11.25" customHeight="1"/>
    <row r="1808" ht="11.25" customHeight="1"/>
    <row r="1809" ht="11.25" customHeight="1"/>
    <row r="1810" ht="11.25" customHeight="1"/>
    <row r="1811" ht="11.25" customHeight="1"/>
    <row r="1812" ht="11.25" customHeight="1"/>
    <row r="1813" ht="11.25" customHeight="1"/>
    <row r="1814" ht="11.25" customHeight="1"/>
    <row r="1815" ht="11.25" customHeight="1"/>
    <row r="1816" ht="11.25" customHeight="1"/>
    <row r="1817" ht="11.25" customHeight="1"/>
    <row r="1818" ht="11.25" customHeight="1"/>
    <row r="1819" ht="11.25" customHeight="1"/>
    <row r="1820" ht="11.25" customHeight="1"/>
    <row r="1821" ht="11.25" customHeight="1"/>
    <row r="1822" ht="11.25" customHeight="1"/>
    <row r="1823" ht="11.25" customHeight="1"/>
    <row r="1824" ht="11.25" customHeight="1"/>
    <row r="1825" ht="11.25" customHeight="1"/>
    <row r="1826" ht="11.25" customHeight="1"/>
    <row r="1827" ht="11.25" customHeight="1"/>
    <row r="1828" ht="11.25" customHeight="1"/>
    <row r="1829" ht="11.25" customHeight="1"/>
    <row r="1830" ht="11.25" customHeight="1"/>
    <row r="1831" ht="11.25" customHeight="1"/>
    <row r="1832" ht="11.25" customHeight="1"/>
    <row r="1833" ht="11.25" customHeight="1"/>
    <row r="1834" ht="11.25" customHeight="1"/>
    <row r="1835" ht="11.25" customHeight="1"/>
    <row r="1836" ht="11.25" customHeight="1"/>
    <row r="1837" ht="11.25" customHeight="1"/>
    <row r="1838" ht="11.25" customHeight="1"/>
    <row r="1839" ht="11.25" customHeight="1"/>
    <row r="1840" ht="11.25" customHeight="1"/>
    <row r="1841" ht="11.25" customHeight="1"/>
    <row r="1842" ht="11.25" customHeight="1"/>
    <row r="1843" ht="11.25" customHeight="1"/>
    <row r="1844" ht="11.25" customHeight="1"/>
    <row r="1845" ht="11.25" customHeight="1"/>
    <row r="1846" ht="11.25" customHeight="1"/>
    <row r="1847" ht="11.25" customHeight="1"/>
    <row r="1848" ht="11.25" customHeight="1"/>
    <row r="1849" ht="11.25" customHeight="1"/>
    <row r="1850" ht="11.25" customHeight="1"/>
    <row r="1851" ht="11.25" customHeight="1"/>
    <row r="1852" ht="11.25" customHeight="1"/>
    <row r="1853" ht="11.25" customHeight="1"/>
    <row r="1854" ht="11.25" customHeight="1"/>
    <row r="1855" ht="11.25" customHeight="1"/>
    <row r="1856" ht="11.25" customHeight="1"/>
    <row r="1857" ht="11.25" customHeight="1"/>
    <row r="1858" ht="11.25" customHeight="1"/>
    <row r="1859" ht="11.25" customHeight="1"/>
    <row r="1860" ht="11.25" customHeight="1"/>
    <row r="1861" ht="11.25" customHeight="1"/>
    <row r="1862" ht="11.25" customHeight="1"/>
    <row r="1863" ht="11.25" customHeight="1"/>
    <row r="1864" ht="11.25" customHeight="1"/>
    <row r="1865" ht="11.25" customHeight="1"/>
    <row r="1866" ht="11.25" customHeight="1"/>
    <row r="1867" ht="11.25" customHeight="1"/>
    <row r="1868" ht="11.25" customHeight="1"/>
    <row r="1869" ht="11.25" customHeight="1"/>
    <row r="1870" ht="11.25" customHeight="1"/>
    <row r="1871" ht="11.25" customHeight="1"/>
    <row r="1872" ht="11.25" customHeight="1"/>
    <row r="1873" ht="11.25" customHeight="1"/>
    <row r="1874" ht="11.25" customHeight="1"/>
    <row r="1875" ht="11.25" customHeight="1"/>
    <row r="1876" ht="11.25" customHeight="1"/>
    <row r="1877" ht="11.25" customHeight="1"/>
    <row r="1878" ht="11.25" customHeight="1"/>
    <row r="1879" ht="11.25" customHeight="1"/>
    <row r="1880" ht="11.25" customHeight="1"/>
    <row r="1881" ht="11.25" customHeight="1"/>
    <row r="1882" ht="11.25" customHeight="1"/>
    <row r="1883" ht="11.25" customHeight="1"/>
    <row r="1884" ht="11.25" customHeight="1"/>
    <row r="1885" ht="11.25" customHeight="1"/>
    <row r="1886" ht="11.25" customHeight="1"/>
    <row r="1887" ht="11.25" customHeight="1"/>
    <row r="1888" ht="11.25" customHeight="1"/>
    <row r="1889" ht="11.25" customHeight="1"/>
    <row r="1890" ht="11.25" customHeight="1"/>
    <row r="1891" ht="11.25" customHeight="1"/>
    <row r="1892" ht="11.25" customHeight="1"/>
    <row r="1893" ht="11.25" customHeight="1"/>
    <row r="1894" ht="11.25" customHeight="1"/>
    <row r="1895" ht="11.25" customHeight="1"/>
    <row r="1896" ht="11.25" customHeight="1"/>
    <row r="1897" ht="11.25" customHeight="1"/>
    <row r="1898" ht="11.25" customHeight="1"/>
    <row r="1899" ht="11.25" customHeight="1"/>
    <row r="1900" ht="11.25" customHeight="1"/>
    <row r="1901" ht="11.25" customHeight="1"/>
    <row r="1902" ht="11.25" customHeight="1"/>
    <row r="1903" ht="11.25" customHeight="1"/>
    <row r="1904" ht="11.25" customHeight="1"/>
    <row r="1905" ht="11.25" customHeight="1"/>
    <row r="1906" ht="11.25" customHeight="1"/>
    <row r="1907" ht="11.25" customHeight="1"/>
    <row r="1908" ht="11.25" customHeight="1"/>
    <row r="1909" ht="11.25" customHeight="1"/>
    <row r="1910" ht="11.25" customHeight="1"/>
    <row r="1911" ht="11.25" customHeight="1"/>
    <row r="1912" ht="11.25" customHeight="1"/>
    <row r="1913" ht="11.25" customHeight="1"/>
    <row r="1914" ht="11.25" customHeight="1"/>
    <row r="1915" ht="11.25" customHeight="1"/>
    <row r="1916" ht="11.25" customHeight="1"/>
    <row r="1917" ht="11.25" customHeight="1"/>
    <row r="1918" ht="11.25" customHeight="1"/>
    <row r="1919" ht="11.25" customHeight="1"/>
    <row r="1920" ht="11.25" customHeight="1"/>
    <row r="1921" ht="11.25" customHeight="1"/>
    <row r="1922" ht="11.25" customHeight="1"/>
    <row r="1923" ht="11.25" customHeight="1"/>
    <row r="1924" ht="11.25" customHeight="1"/>
    <row r="1925" ht="11.25" customHeight="1"/>
    <row r="1926" ht="11.25" customHeight="1"/>
    <row r="1927" ht="11.25" customHeight="1"/>
    <row r="1928" ht="11.25" customHeight="1"/>
    <row r="1929" ht="11.25" customHeight="1"/>
    <row r="1930" ht="11.25" customHeight="1"/>
    <row r="1931" ht="11.25" customHeight="1"/>
    <row r="1932" ht="11.25" customHeight="1"/>
    <row r="1933" ht="11.25" customHeight="1"/>
    <row r="1934" ht="11.25" customHeight="1"/>
    <row r="1935" ht="11.25" customHeight="1"/>
    <row r="1936" ht="11.25" customHeight="1"/>
    <row r="1937" ht="11.25" customHeight="1"/>
    <row r="1938" ht="11.25" customHeight="1"/>
    <row r="1939" ht="11.25" customHeight="1"/>
    <row r="1940" ht="11.25" customHeight="1"/>
    <row r="1941" ht="11.25" customHeight="1"/>
    <row r="1942" ht="11.25" customHeight="1"/>
    <row r="1943" ht="11.25" customHeight="1"/>
    <row r="1944" ht="11.25" customHeight="1"/>
    <row r="1945" ht="11.25" customHeight="1"/>
    <row r="1946" ht="11.25" customHeight="1"/>
    <row r="1947" ht="11.25" customHeight="1"/>
    <row r="1948" ht="11.25" customHeight="1"/>
    <row r="1949" ht="11.25" customHeight="1"/>
    <row r="1950" ht="11.25" customHeight="1"/>
    <row r="1951" ht="11.25" customHeight="1"/>
    <row r="1952" ht="11.25" customHeight="1"/>
    <row r="1953" ht="11.25" customHeight="1"/>
    <row r="1954" ht="11.25" customHeight="1"/>
    <row r="1955" ht="11.25" customHeight="1"/>
    <row r="1956" ht="11.25" customHeight="1"/>
    <row r="1957" ht="11.25" customHeight="1"/>
    <row r="1958" ht="11.25" customHeight="1"/>
    <row r="1959" ht="11.25" customHeight="1"/>
    <row r="1960" ht="11.25" customHeight="1"/>
    <row r="1961" ht="11.25" customHeight="1"/>
    <row r="1962" ht="11.25" customHeight="1"/>
    <row r="1963" ht="11.25" customHeight="1"/>
    <row r="1964" ht="11.25" customHeight="1"/>
    <row r="1965" ht="11.25" customHeight="1"/>
    <row r="1966" ht="11.25" customHeight="1"/>
    <row r="1967" ht="11.25" customHeight="1"/>
    <row r="1968" ht="11.25" customHeight="1"/>
    <row r="1969" ht="11.25" customHeight="1"/>
    <row r="1970" ht="11.25" customHeight="1"/>
    <row r="1971" ht="11.25" customHeight="1"/>
    <row r="1972" ht="11.25" customHeight="1"/>
    <row r="1973" ht="11.25" customHeight="1"/>
    <row r="1974" ht="11.25" customHeight="1"/>
    <row r="1975" ht="11.25" customHeight="1"/>
    <row r="1976" ht="11.25" customHeight="1"/>
    <row r="1977" ht="11.25" customHeight="1"/>
    <row r="1978" ht="11.25" customHeight="1"/>
    <row r="1979" ht="11.25" customHeight="1"/>
    <row r="1980" ht="11.25" customHeight="1"/>
    <row r="1981" ht="11.25" customHeight="1"/>
    <row r="1982" ht="11.25" customHeight="1"/>
    <row r="1983" ht="11.25" customHeight="1"/>
    <row r="1984" ht="11.25" customHeight="1"/>
    <row r="1985" ht="11.25" customHeight="1"/>
    <row r="1986" ht="11.25" customHeight="1"/>
    <row r="1987" ht="11.25" customHeight="1"/>
    <row r="1988" ht="11.25" customHeight="1"/>
    <row r="1989" ht="11.25" customHeight="1"/>
    <row r="1990" ht="11.25" customHeight="1"/>
    <row r="1991" ht="11.25" customHeight="1"/>
    <row r="1992" ht="11.25" customHeight="1"/>
    <row r="1993" ht="11.25" customHeight="1"/>
    <row r="1994" ht="11.25" customHeight="1"/>
    <row r="1995" ht="11.25" customHeight="1"/>
    <row r="1996" ht="11.25" customHeight="1"/>
    <row r="1997" ht="11.25" customHeight="1"/>
    <row r="1998" ht="11.25" customHeight="1"/>
    <row r="1999" ht="11.25" customHeight="1"/>
    <row r="2000" ht="11.25" customHeight="1"/>
    <row r="2001" ht="11.25" customHeight="1"/>
    <row r="2002" ht="11.25" customHeight="1"/>
    <row r="2003" ht="11.25" customHeight="1"/>
    <row r="2004" ht="11.25" customHeight="1"/>
    <row r="2005" ht="11.25" customHeight="1"/>
    <row r="2006" ht="11.25" customHeight="1"/>
    <row r="2007" ht="11.25" customHeight="1"/>
    <row r="2008" ht="11.25" customHeight="1"/>
    <row r="2009" ht="11.25" customHeight="1"/>
    <row r="2010" ht="11.25" customHeight="1"/>
    <row r="2011" ht="11.25" customHeight="1"/>
    <row r="2012" ht="11.25" customHeight="1"/>
    <row r="2013" ht="11.25" customHeight="1"/>
    <row r="2014" ht="11.25" customHeight="1"/>
    <row r="2015" ht="11.25" customHeight="1"/>
    <row r="2016" ht="11.25" customHeight="1"/>
    <row r="2017" ht="11.25" customHeight="1"/>
    <row r="2018" ht="11.25" customHeight="1"/>
    <row r="2019" ht="11.25" customHeight="1"/>
    <row r="2020" ht="11.25" customHeight="1"/>
    <row r="2021" ht="11.25" customHeight="1"/>
    <row r="2022" ht="11.25" customHeight="1"/>
    <row r="2023" ht="11.25" customHeight="1"/>
    <row r="2024" ht="11.25" customHeight="1"/>
    <row r="2025" ht="11.25" customHeight="1"/>
    <row r="2026" ht="11.25" customHeight="1"/>
    <row r="2027" ht="11.25" customHeight="1"/>
    <row r="2028" ht="11.25" customHeight="1"/>
    <row r="2029" ht="11.25" customHeight="1"/>
    <row r="2030" ht="11.25" customHeight="1"/>
    <row r="2031" ht="11.25" customHeight="1"/>
    <row r="2032" ht="11.25" customHeight="1"/>
    <row r="2033" ht="11.25" customHeight="1"/>
    <row r="2034" ht="11.25" customHeight="1"/>
    <row r="2035" ht="11.25" customHeight="1"/>
    <row r="2036" ht="11.25" customHeight="1"/>
    <row r="2037" ht="11.25" customHeight="1"/>
    <row r="2038" ht="11.25" customHeight="1"/>
    <row r="2039" ht="11.25" customHeight="1"/>
    <row r="2040" ht="11.25" customHeight="1"/>
    <row r="2041" ht="11.25" customHeight="1"/>
    <row r="2042" ht="11.25" customHeight="1"/>
    <row r="2043" ht="11.25" customHeight="1"/>
    <row r="2044" ht="11.25" customHeight="1"/>
    <row r="2045" ht="11.25" customHeight="1"/>
    <row r="2046" ht="11.25" customHeight="1"/>
    <row r="2047" ht="11.25" customHeight="1"/>
    <row r="2048" ht="11.25" customHeight="1"/>
    <row r="2049" ht="11.25" customHeight="1"/>
    <row r="2050" ht="11.25" customHeight="1"/>
    <row r="2051" ht="11.25" customHeight="1"/>
    <row r="2052" ht="11.25" customHeight="1"/>
    <row r="2053" ht="11.25" customHeight="1"/>
    <row r="2054" ht="11.25" customHeight="1"/>
    <row r="2055" ht="11.25" customHeight="1"/>
    <row r="2056" ht="11.25" customHeight="1"/>
    <row r="2057" ht="11.25" customHeight="1"/>
    <row r="2058" ht="11.25" customHeight="1"/>
    <row r="2059" ht="11.25" customHeight="1"/>
    <row r="2060" ht="11.25" customHeight="1"/>
    <row r="2061" ht="11.25" customHeight="1"/>
    <row r="2062" ht="11.25" customHeight="1"/>
    <row r="2063" ht="11.25" customHeight="1"/>
    <row r="2064" ht="11.25" customHeight="1"/>
    <row r="2065" ht="11.25" customHeight="1"/>
    <row r="2066" ht="11.25" customHeight="1"/>
    <row r="2067" ht="11.25" customHeight="1"/>
    <row r="2068" ht="11.25" customHeight="1"/>
    <row r="2069" ht="11.25" customHeight="1"/>
    <row r="2070" ht="11.25" customHeight="1"/>
    <row r="2071" ht="11.25" customHeight="1"/>
    <row r="2072" ht="11.25" customHeight="1"/>
    <row r="2073" ht="11.25" customHeight="1"/>
    <row r="2074" ht="11.25" customHeight="1"/>
    <row r="2075" ht="11.25" customHeight="1"/>
    <row r="2076" ht="11.25" customHeight="1"/>
    <row r="2077" ht="11.25" customHeight="1"/>
    <row r="2078" ht="11.25" customHeight="1"/>
    <row r="2079" ht="11.25" customHeight="1"/>
    <row r="2080" ht="11.25" customHeight="1"/>
    <row r="2081" ht="11.25" customHeight="1"/>
    <row r="2082" ht="11.25" customHeight="1"/>
    <row r="2083" ht="11.25" customHeight="1"/>
    <row r="2084" ht="11.25" customHeight="1"/>
    <row r="2085" ht="11.25" customHeight="1"/>
    <row r="2086" ht="11.25" customHeight="1"/>
    <row r="2087" ht="11.25" customHeight="1"/>
    <row r="2088" ht="11.25" customHeight="1"/>
    <row r="2089" ht="11.25" customHeight="1"/>
    <row r="2090" ht="11.25" customHeight="1"/>
    <row r="2091" ht="11.25" customHeight="1"/>
    <row r="2092" ht="11.25" customHeight="1"/>
    <row r="2093" ht="11.25" customHeight="1"/>
    <row r="2094" ht="11.25" customHeight="1"/>
    <row r="2095" ht="11.25" customHeight="1"/>
    <row r="2096" ht="11.25" customHeight="1"/>
    <row r="2097" ht="11.25" customHeight="1"/>
    <row r="2098" ht="11.25" customHeight="1"/>
    <row r="2099" ht="11.25" customHeight="1"/>
    <row r="2100" ht="11.25" customHeight="1"/>
    <row r="2101" ht="11.25" customHeight="1"/>
    <row r="2102" ht="11.25" customHeight="1"/>
    <row r="2103" ht="11.25" customHeight="1"/>
    <row r="2104" ht="11.25" customHeight="1"/>
    <row r="2105" ht="11.25" customHeight="1"/>
    <row r="2106" ht="11.25" customHeight="1"/>
    <row r="2107" ht="11.25" customHeight="1"/>
    <row r="2108" ht="11.25" customHeight="1"/>
    <row r="2109" ht="11.25" customHeight="1"/>
    <row r="2110" ht="11.25" customHeight="1"/>
    <row r="2111" ht="11.25" customHeight="1"/>
    <row r="2112" ht="11.25" customHeight="1"/>
    <row r="2113" ht="11.25" customHeight="1"/>
    <row r="2114" ht="11.25" customHeight="1"/>
    <row r="2115" ht="11.25" customHeight="1"/>
    <row r="2116" ht="11.25" customHeight="1"/>
    <row r="2117" ht="11.25" customHeight="1"/>
    <row r="2118" ht="11.25" customHeight="1"/>
    <row r="2119" ht="11.25" customHeight="1"/>
    <row r="2120" ht="11.25" customHeight="1"/>
    <row r="2121" ht="11.25" customHeight="1"/>
    <row r="2122" ht="11.25" customHeight="1"/>
    <row r="2123" ht="11.25" customHeight="1"/>
    <row r="2124" ht="11.25" customHeight="1"/>
    <row r="2125" ht="11.25" customHeight="1"/>
    <row r="2126" ht="11.25" customHeight="1"/>
    <row r="2127" ht="11.25" customHeight="1"/>
    <row r="2128" ht="11.25" customHeight="1"/>
    <row r="2129" ht="11.25" customHeight="1"/>
    <row r="2130" ht="11.25" customHeight="1"/>
    <row r="2131" ht="11.25" customHeight="1"/>
    <row r="2132" ht="11.25" customHeight="1"/>
    <row r="2133" ht="11.25" customHeight="1"/>
    <row r="2134" ht="11.25" customHeight="1"/>
    <row r="2135" ht="11.25" customHeight="1"/>
    <row r="2136" ht="11.25" customHeight="1"/>
    <row r="2137" ht="11.25" customHeight="1"/>
    <row r="2138" ht="11.25" customHeight="1"/>
    <row r="2139" ht="11.25" customHeight="1"/>
    <row r="2140" ht="11.25" customHeight="1"/>
    <row r="2141" ht="11.25" customHeight="1"/>
    <row r="2142" ht="11.25" customHeight="1"/>
    <row r="2143" ht="11.25" customHeight="1"/>
    <row r="2144" ht="11.25" customHeight="1"/>
    <row r="2145" ht="11.25" customHeight="1"/>
    <row r="2146" ht="11.25" customHeight="1"/>
    <row r="2147" ht="11.25" customHeight="1"/>
    <row r="2148" ht="11.25" customHeight="1"/>
    <row r="2149" ht="11.25" customHeight="1"/>
    <row r="2150" ht="11.25" customHeight="1"/>
    <row r="2151" ht="11.25" customHeight="1"/>
    <row r="2152" ht="11.25" customHeight="1"/>
    <row r="2153" ht="11.25" customHeight="1"/>
    <row r="2154" ht="11.25" customHeight="1"/>
    <row r="2155" ht="11.25" customHeight="1"/>
    <row r="2156" ht="11.25" customHeight="1"/>
    <row r="2157" ht="11.25" customHeight="1"/>
    <row r="2158" ht="11.25" customHeight="1"/>
    <row r="2159" ht="11.25" customHeight="1"/>
    <row r="2160" ht="11.25" customHeight="1"/>
    <row r="2161" ht="11.25" customHeight="1"/>
    <row r="2162" ht="11.25" customHeight="1"/>
    <row r="2163" ht="11.25" customHeight="1"/>
    <row r="2164" ht="11.25" customHeight="1"/>
    <row r="2165" ht="11.25" customHeight="1"/>
    <row r="2166" ht="11.25" customHeight="1"/>
    <row r="2167" ht="11.25" customHeight="1"/>
    <row r="2168" ht="11.25" customHeight="1"/>
    <row r="2169" ht="11.25" customHeight="1"/>
    <row r="2170" ht="11.25" customHeight="1"/>
    <row r="2171" ht="11.25" customHeight="1"/>
    <row r="2172" ht="11.25" customHeight="1"/>
    <row r="2173" ht="11.25" customHeight="1"/>
    <row r="2174" ht="11.25" customHeight="1"/>
    <row r="2175" ht="11.25" customHeight="1"/>
    <row r="2176" ht="11.25" customHeight="1"/>
    <row r="2177" ht="11.25" customHeight="1"/>
    <row r="2178" ht="11.25" customHeight="1"/>
    <row r="2179" ht="11.25" customHeight="1"/>
    <row r="2180" ht="11.25" customHeight="1"/>
    <row r="2181" ht="11.25" customHeight="1"/>
    <row r="2182" ht="11.25" customHeight="1"/>
    <row r="2183" ht="11.25" customHeight="1"/>
    <row r="2184" ht="11.25" customHeight="1"/>
    <row r="2185" ht="11.25" customHeight="1"/>
    <row r="2186" ht="11.25" customHeight="1"/>
    <row r="2187" ht="11.25" customHeight="1"/>
    <row r="2188" ht="11.25" customHeight="1"/>
    <row r="2189" ht="11.25" customHeight="1"/>
    <row r="2190" ht="11.25" customHeight="1"/>
    <row r="2191" ht="11.25" customHeight="1"/>
    <row r="2192" ht="11.25" customHeight="1"/>
    <row r="2193" ht="11.25" customHeight="1"/>
    <row r="2194" ht="11.25" customHeight="1"/>
    <row r="2195" ht="11.25" customHeight="1"/>
    <row r="2196" ht="11.25" customHeight="1"/>
    <row r="2197" ht="11.25" customHeight="1"/>
    <row r="2198" ht="11.25" customHeight="1"/>
    <row r="2199" ht="11.25" customHeight="1"/>
    <row r="2200" ht="11.25" customHeight="1"/>
    <row r="2201" ht="11.25" customHeight="1"/>
    <row r="2202" ht="11.25" customHeight="1"/>
    <row r="2203" ht="11.25" customHeight="1"/>
    <row r="2204" ht="11.25" customHeight="1"/>
    <row r="2205" ht="11.25" customHeight="1"/>
    <row r="2206" ht="11.25" customHeight="1"/>
    <row r="2207" ht="11.25" customHeight="1"/>
    <row r="2208" ht="11.25" customHeight="1"/>
    <row r="2209" ht="11.25" customHeight="1"/>
    <row r="2210" ht="11.25" customHeight="1"/>
    <row r="2211" ht="11.25" customHeight="1"/>
    <row r="2212" ht="11.25" customHeight="1"/>
    <row r="2213" ht="11.25" customHeight="1"/>
    <row r="2214" ht="11.25" customHeight="1"/>
    <row r="2215" ht="11.25" customHeight="1"/>
    <row r="2216" ht="11.25" customHeight="1"/>
    <row r="2217" ht="11.25" customHeight="1"/>
    <row r="2218" ht="11.25" customHeight="1"/>
    <row r="2219" ht="11.25" customHeight="1"/>
    <row r="2220" ht="11.25" customHeight="1"/>
    <row r="2221" ht="11.25" customHeight="1"/>
    <row r="2222" ht="11.25" customHeight="1"/>
    <row r="2223" ht="11.25" customHeight="1"/>
    <row r="2224" ht="11.25" customHeight="1"/>
    <row r="2225" ht="11.25" customHeight="1"/>
    <row r="2226" ht="11.25" customHeight="1"/>
    <row r="2227" ht="11.25" customHeight="1"/>
    <row r="2228" ht="11.25" customHeight="1"/>
    <row r="2229" ht="11.25" customHeight="1"/>
    <row r="2230" ht="11.25" customHeight="1"/>
    <row r="2231" ht="11.25" customHeight="1"/>
    <row r="2232" ht="11.25" customHeight="1"/>
    <row r="2233" ht="11.25" customHeight="1"/>
    <row r="2234" ht="11.25" customHeight="1"/>
    <row r="2235" ht="11.25" customHeight="1"/>
    <row r="2236" ht="11.25" customHeight="1"/>
    <row r="2237" ht="11.25" customHeight="1"/>
    <row r="2238" ht="11.25" customHeight="1"/>
    <row r="2239" ht="11.25" customHeight="1"/>
    <row r="2240" ht="11.25" customHeight="1"/>
    <row r="2241" ht="11.25" customHeight="1"/>
    <row r="2242" ht="11.25" customHeight="1"/>
    <row r="2243" ht="11.25" customHeight="1"/>
    <row r="2244" ht="11.25" customHeight="1"/>
    <row r="2245" ht="11.25" customHeight="1"/>
    <row r="2246" ht="11.25" customHeight="1"/>
    <row r="2247" ht="11.25" customHeight="1"/>
    <row r="2248" ht="11.25" customHeight="1"/>
    <row r="2249" ht="11.25" customHeight="1"/>
    <row r="2250" ht="11.25" customHeight="1"/>
    <row r="2251" ht="11.25" customHeight="1"/>
    <row r="2252" ht="11.25" customHeight="1"/>
    <row r="2253" ht="11.25" customHeight="1"/>
    <row r="2254" ht="11.25" customHeight="1"/>
    <row r="2255" ht="11.25" customHeight="1"/>
    <row r="2256" ht="11.25" customHeight="1"/>
    <row r="2257" ht="11.25" customHeight="1"/>
    <row r="2258" ht="11.25" customHeight="1"/>
    <row r="2259" ht="11.25" customHeight="1"/>
    <row r="2260" ht="11.25" customHeight="1"/>
    <row r="2261" ht="11.25" customHeight="1"/>
    <row r="2262" ht="11.25" customHeight="1"/>
    <row r="2263" ht="11.25" customHeight="1"/>
    <row r="2264" ht="11.25" customHeight="1"/>
    <row r="2265" ht="11.25" customHeight="1"/>
    <row r="2266" ht="11.25" customHeight="1"/>
    <row r="2267" ht="11.25" customHeight="1"/>
    <row r="2268" ht="11.25" customHeight="1"/>
    <row r="2269" ht="11.25" customHeight="1"/>
    <row r="2270" ht="11.25" customHeight="1"/>
    <row r="2271" ht="11.25" customHeight="1"/>
    <row r="2272" ht="11.25" customHeight="1"/>
    <row r="2273" ht="11.25" customHeight="1"/>
    <row r="2274" ht="11.25" customHeight="1"/>
    <row r="2275" ht="11.25" customHeight="1"/>
    <row r="2276" ht="11.25" customHeight="1"/>
    <row r="2277" ht="11.25" customHeight="1"/>
    <row r="2278" ht="11.25" customHeight="1"/>
    <row r="2279" ht="11.25" customHeight="1"/>
    <row r="2280" ht="11.25" customHeight="1"/>
    <row r="2281" ht="11.25" customHeight="1"/>
    <row r="2282" ht="11.25" customHeight="1"/>
    <row r="2283" ht="11.25" customHeight="1"/>
    <row r="2284" ht="11.25" customHeight="1"/>
    <row r="2285" ht="11.25" customHeight="1"/>
    <row r="2286" ht="11.25" customHeight="1"/>
    <row r="2287" ht="11.25" customHeight="1"/>
    <row r="2288" ht="11.25" customHeight="1"/>
    <row r="2289" ht="11.25" customHeight="1"/>
    <row r="2290" ht="11.25" customHeight="1"/>
    <row r="2291" ht="11.25" customHeight="1"/>
    <row r="2292" ht="11.25" customHeight="1"/>
    <row r="2293" ht="11.25" customHeight="1"/>
    <row r="2294" ht="11.25" customHeight="1"/>
    <row r="2295" ht="11.25" customHeight="1"/>
    <row r="2296" ht="11.25" customHeight="1"/>
    <row r="2297" ht="11.25" customHeight="1"/>
    <row r="2298" ht="11.25" customHeight="1"/>
    <row r="2299" ht="11.25" customHeight="1"/>
    <row r="2300" ht="11.25" customHeight="1"/>
    <row r="2301" ht="11.25" customHeight="1"/>
    <row r="2302" ht="11.25" customHeight="1"/>
    <row r="2303" ht="11.25" customHeight="1"/>
    <row r="2304" ht="11.25" customHeight="1"/>
    <row r="2305" ht="11.25" customHeight="1"/>
    <row r="2306" ht="11.25" customHeight="1"/>
    <row r="2307" ht="11.25" customHeight="1"/>
    <row r="2308" ht="11.25" customHeight="1"/>
    <row r="2309" ht="11.25" customHeight="1"/>
    <row r="2310" ht="11.25" customHeight="1"/>
    <row r="2311" ht="11.25" customHeight="1"/>
    <row r="2312" ht="11.25" customHeight="1"/>
    <row r="2313" ht="11.25" customHeight="1"/>
    <row r="2314" ht="11.25" customHeight="1"/>
    <row r="2315" ht="11.25" customHeight="1"/>
    <row r="2316" ht="11.25" customHeight="1"/>
    <row r="2317" ht="11.25" customHeight="1"/>
    <row r="2318" ht="11.25" customHeight="1"/>
    <row r="2319" ht="11.25" customHeight="1"/>
    <row r="2320" ht="11.25" customHeight="1"/>
    <row r="2321" ht="11.25" customHeight="1"/>
    <row r="2322" ht="11.25" customHeight="1"/>
    <row r="2323" ht="11.25" customHeight="1"/>
    <row r="2324" ht="11.25" customHeight="1"/>
    <row r="2325" ht="11.25" customHeight="1"/>
    <row r="2326" ht="11.25" customHeight="1"/>
    <row r="2327" ht="11.25" customHeight="1"/>
    <row r="2328" ht="11.25" customHeight="1"/>
    <row r="2329" ht="11.25" customHeight="1"/>
    <row r="2330" ht="11.25" customHeight="1"/>
    <row r="2331" ht="11.25" customHeight="1"/>
    <row r="2332" ht="11.25" customHeight="1"/>
    <row r="2333" ht="11.25" customHeight="1"/>
    <row r="2334" ht="11.25" customHeight="1"/>
    <row r="2335" ht="11.25" customHeight="1"/>
    <row r="2336" ht="11.25" customHeight="1"/>
    <row r="2337" ht="11.25" customHeight="1"/>
    <row r="2338" ht="11.25" customHeight="1"/>
    <row r="2339" ht="11.25" customHeight="1"/>
    <row r="2340" ht="11.25" customHeight="1"/>
    <row r="2341" ht="11.25" customHeight="1"/>
    <row r="2342" ht="11.25" customHeight="1"/>
    <row r="2343" ht="11.25" customHeight="1"/>
    <row r="2344" ht="11.25" customHeight="1"/>
    <row r="2345" ht="11.25" customHeight="1"/>
    <row r="2346" ht="11.25" customHeight="1"/>
    <row r="2347" ht="11.25" customHeight="1"/>
    <row r="2348" ht="11.25" customHeight="1"/>
    <row r="2349" ht="11.25" customHeight="1"/>
    <row r="2350" ht="11.25" customHeight="1"/>
    <row r="2351" ht="11.25" customHeight="1"/>
    <row r="2352" ht="11.25" customHeight="1"/>
    <row r="2353" ht="11.25" customHeight="1"/>
    <row r="2354" ht="11.25" customHeight="1"/>
    <row r="2355" ht="11.25" customHeight="1"/>
    <row r="2356" ht="11.25" customHeight="1"/>
    <row r="2357" ht="11.25" customHeight="1"/>
    <row r="2358" ht="11.25" customHeight="1"/>
    <row r="2359" ht="11.25" customHeight="1"/>
    <row r="2360" ht="11.25" customHeight="1"/>
    <row r="2361" ht="11.25" customHeight="1"/>
    <row r="2362" ht="11.25" customHeight="1"/>
    <row r="2363" ht="11.25" customHeight="1"/>
    <row r="2364" ht="11.25" customHeight="1"/>
    <row r="2365" ht="11.25" customHeight="1"/>
    <row r="2366" ht="11.25" customHeight="1"/>
    <row r="2367" ht="11.25" customHeight="1"/>
    <row r="2368" ht="11.25" customHeight="1"/>
    <row r="2369" ht="11.25" customHeight="1"/>
    <row r="2370" ht="11.25" customHeight="1"/>
    <row r="2371" ht="11.25" customHeight="1"/>
    <row r="2372" ht="11.25" customHeight="1"/>
    <row r="2373" ht="11.25" customHeight="1"/>
    <row r="2374" ht="11.25" customHeight="1"/>
    <row r="2375" ht="11.25" customHeight="1"/>
    <row r="2376" ht="11.25" customHeight="1"/>
    <row r="2377" ht="11.25" customHeight="1"/>
    <row r="2378" ht="11.25" customHeight="1"/>
    <row r="2379" ht="11.25" customHeight="1"/>
    <row r="2380" ht="11.25" customHeight="1"/>
    <row r="2381" ht="11.25" customHeight="1"/>
    <row r="2382" ht="11.25" customHeight="1"/>
    <row r="2383" ht="11.25" customHeight="1"/>
    <row r="2384" ht="11.25" customHeight="1"/>
    <row r="2385" ht="11.25" customHeight="1"/>
    <row r="2386" ht="11.25" customHeight="1"/>
    <row r="2387" ht="11.25" customHeight="1"/>
    <row r="2388" ht="11.25" customHeight="1"/>
    <row r="2389" ht="11.25" customHeight="1"/>
    <row r="2390" ht="11.25" customHeight="1"/>
    <row r="2391" ht="11.25" customHeight="1"/>
    <row r="2392" ht="11.25" customHeight="1"/>
    <row r="2393" ht="11.25" customHeight="1"/>
    <row r="2394" ht="11.25" customHeight="1"/>
    <row r="2395" ht="11.25" customHeight="1"/>
    <row r="2396" ht="11.25" customHeight="1"/>
    <row r="2397" ht="11.25" customHeight="1"/>
    <row r="2398" ht="11.25" customHeight="1"/>
    <row r="2399" ht="11.25" customHeight="1"/>
    <row r="2400" ht="11.25" customHeight="1"/>
    <row r="2401" ht="11.25" customHeight="1"/>
    <row r="2402" ht="11.25" customHeight="1"/>
    <row r="2403" ht="11.25" customHeight="1"/>
    <row r="2404" ht="11.25" customHeight="1"/>
    <row r="2405" ht="11.25" customHeight="1"/>
    <row r="2406" ht="11.25" customHeight="1"/>
    <row r="2407" ht="11.25" customHeight="1"/>
    <row r="2408" ht="11.25" customHeight="1"/>
    <row r="2409" ht="11.25" customHeight="1"/>
    <row r="2410" ht="11.25" customHeight="1"/>
    <row r="2411" ht="11.25" customHeight="1"/>
    <row r="2412" ht="11.25" customHeight="1"/>
    <row r="2413" ht="11.25" customHeight="1"/>
    <row r="2414" ht="11.25" customHeight="1"/>
    <row r="2415" ht="11.25" customHeight="1"/>
    <row r="2416" ht="11.25" customHeight="1"/>
    <row r="2417" ht="11.25" customHeight="1"/>
    <row r="2418" ht="11.25" customHeight="1"/>
    <row r="2419" ht="11.25" customHeight="1"/>
    <row r="2420" ht="11.25" customHeight="1"/>
    <row r="2421" ht="11.25" customHeight="1"/>
    <row r="2422" ht="11.25" customHeight="1"/>
    <row r="2423" ht="11.25" customHeight="1"/>
    <row r="2424" ht="11.25" customHeight="1"/>
    <row r="2425" ht="11.25" customHeight="1"/>
    <row r="2426" ht="11.25" customHeight="1"/>
    <row r="2427" ht="11.25" customHeight="1"/>
    <row r="2428" ht="11.25" customHeight="1"/>
    <row r="2429" ht="11.25" customHeight="1"/>
    <row r="2430" ht="11.25" customHeight="1"/>
    <row r="2431" ht="11.25" customHeight="1"/>
    <row r="2432" ht="11.25" customHeight="1"/>
    <row r="2433" ht="11.25" customHeight="1"/>
    <row r="2434" ht="11.25" customHeight="1"/>
    <row r="2435" ht="11.25" customHeight="1"/>
    <row r="2436" ht="11.25" customHeight="1"/>
    <row r="2437" ht="11.25" customHeight="1"/>
    <row r="2438" ht="11.25" customHeight="1"/>
    <row r="2439" ht="11.25" customHeight="1"/>
    <row r="2440" ht="11.25" customHeight="1"/>
    <row r="2441" ht="11.25" customHeight="1"/>
    <row r="2442" ht="11.25" customHeight="1"/>
    <row r="2443" ht="11.25" customHeight="1"/>
    <row r="2444" ht="11.25" customHeight="1"/>
    <row r="2445" ht="11.25" customHeight="1"/>
    <row r="2446" ht="11.25" customHeight="1"/>
    <row r="2447" ht="11.25" customHeight="1"/>
    <row r="2448" ht="11.25" customHeight="1"/>
    <row r="2449" ht="11.25" customHeight="1"/>
    <row r="2450" ht="11.25" customHeight="1"/>
    <row r="2451" ht="11.25" customHeight="1"/>
    <row r="2452" ht="11.25" customHeight="1"/>
    <row r="2453" ht="11.25" customHeight="1"/>
    <row r="2454" ht="11.25" customHeight="1"/>
    <row r="2455" ht="11.25" customHeight="1"/>
    <row r="2456" ht="11.25" customHeight="1"/>
    <row r="2457" ht="11.25" customHeight="1"/>
    <row r="2458" ht="11.25" customHeight="1"/>
    <row r="2459" ht="11.25" customHeight="1"/>
    <row r="2460" ht="11.25" customHeight="1"/>
    <row r="2461" ht="11.25" customHeight="1"/>
    <row r="2462" ht="11.25" customHeight="1"/>
    <row r="2463" ht="11.25" customHeight="1"/>
    <row r="2464" ht="11.25" customHeight="1"/>
    <row r="2465" ht="11.25" customHeight="1"/>
    <row r="2466" ht="11.25" customHeight="1"/>
    <row r="2467" ht="11.25" customHeight="1"/>
    <row r="2468" ht="11.25" customHeight="1"/>
    <row r="2469" ht="11.25" customHeight="1"/>
    <row r="2470" ht="11.25" customHeight="1"/>
    <row r="2471" ht="11.25" customHeight="1"/>
    <row r="2472" ht="11.25" customHeight="1"/>
    <row r="2473" ht="11.25" customHeight="1"/>
    <row r="2474" ht="11.25" customHeight="1"/>
    <row r="2475" ht="11.25" customHeight="1"/>
    <row r="2476" ht="11.25" customHeight="1"/>
    <row r="2477" ht="11.25" customHeight="1"/>
    <row r="2478" ht="11.25" customHeight="1"/>
    <row r="2479" ht="11.25" customHeight="1"/>
    <row r="2480" ht="11.25" customHeight="1"/>
    <row r="2481" ht="11.25" customHeight="1"/>
    <row r="2482" ht="11.25" customHeight="1"/>
    <row r="2483" ht="11.25" customHeight="1"/>
    <row r="2484" ht="11.25" customHeight="1"/>
    <row r="2485" ht="11.25" customHeight="1"/>
    <row r="2486" ht="11.25" customHeight="1"/>
    <row r="2487" ht="11.25" customHeight="1"/>
    <row r="2488" ht="11.25" customHeight="1"/>
    <row r="2489" ht="11.25" customHeight="1"/>
    <row r="2490" ht="11.25" customHeight="1"/>
    <row r="2491" ht="11.25" customHeight="1"/>
    <row r="2492" ht="11.25" customHeight="1"/>
    <row r="2493" ht="11.25" customHeight="1"/>
    <row r="2494" ht="11.25" customHeight="1"/>
    <row r="2495" ht="11.25" customHeight="1"/>
    <row r="2496" ht="11.25" customHeight="1"/>
    <row r="2497" ht="11.25" customHeight="1"/>
    <row r="2498" ht="11.25" customHeight="1"/>
    <row r="2499" ht="11.25" customHeight="1"/>
    <row r="2500" ht="11.25" customHeight="1"/>
    <row r="2501" ht="11.25" customHeight="1"/>
    <row r="2502" ht="11.25" customHeight="1"/>
    <row r="2503" ht="11.25" customHeight="1"/>
    <row r="2504" ht="11.25" customHeight="1"/>
    <row r="2505" ht="11.25" customHeight="1"/>
    <row r="2506" ht="11.25" customHeight="1"/>
    <row r="2507" ht="11.25" customHeight="1"/>
    <row r="2508" ht="11.25" customHeight="1"/>
    <row r="2509" ht="11.25" customHeight="1"/>
    <row r="2510" ht="11.25" customHeight="1"/>
    <row r="2511" ht="11.25" customHeight="1"/>
    <row r="2512" ht="11.25" customHeight="1"/>
    <row r="2513" ht="11.25" customHeight="1"/>
    <row r="2514" ht="11.25" customHeight="1"/>
    <row r="2515" ht="11.25" customHeight="1"/>
    <row r="2516" ht="11.25" customHeight="1"/>
    <row r="2517" ht="11.25" customHeight="1"/>
    <row r="2518" ht="11.25" customHeight="1"/>
    <row r="2519" ht="11.25" customHeight="1"/>
    <row r="2520" ht="11.25" customHeight="1"/>
    <row r="2521" ht="11.25" customHeight="1"/>
    <row r="2522" ht="11.25" customHeight="1"/>
    <row r="2523" ht="11.25" customHeight="1"/>
    <row r="2524" ht="11.25" customHeight="1"/>
    <row r="2525" ht="11.25" customHeight="1"/>
    <row r="2526" ht="11.25" customHeight="1"/>
    <row r="2527" ht="11.25" customHeight="1"/>
    <row r="2528" ht="11.25" customHeight="1"/>
    <row r="2529" ht="11.25" customHeight="1"/>
    <row r="2530" ht="11.25" customHeight="1"/>
    <row r="2531" ht="11.25" customHeight="1"/>
    <row r="2532" ht="11.25" customHeight="1"/>
    <row r="2533" ht="11.25" customHeight="1"/>
    <row r="2534" ht="11.25" customHeight="1"/>
    <row r="2535" ht="11.25" customHeight="1"/>
    <row r="2536" ht="11.25" customHeight="1"/>
    <row r="2537" ht="11.25" customHeight="1"/>
    <row r="2538" ht="11.25" customHeight="1"/>
    <row r="2539" ht="11.25" customHeight="1"/>
    <row r="2540" ht="11.25" customHeight="1"/>
    <row r="2541" ht="11.25" customHeight="1"/>
    <row r="2542" ht="11.25" customHeight="1"/>
    <row r="2543" ht="11.25" customHeight="1"/>
    <row r="2544" ht="11.25" customHeight="1"/>
    <row r="2545" ht="11.25" customHeight="1"/>
    <row r="2546" ht="11.25" customHeight="1"/>
    <row r="2547" ht="11.25" customHeight="1"/>
    <row r="2548" ht="11.25" customHeight="1"/>
    <row r="2549" ht="11.25" customHeight="1"/>
    <row r="2550" ht="11.25" customHeight="1"/>
    <row r="2551" ht="11.25" customHeight="1"/>
    <row r="2552" ht="11.25" customHeight="1"/>
    <row r="2553" ht="11.25" customHeight="1"/>
    <row r="2554" ht="11.25" customHeight="1"/>
    <row r="2555" ht="11.25" customHeight="1"/>
    <row r="2556" ht="11.25" customHeight="1"/>
    <row r="2557" ht="11.25" customHeight="1"/>
    <row r="2558" ht="11.25" customHeight="1"/>
    <row r="2559" ht="11.25" customHeight="1"/>
    <row r="2560" ht="11.25" customHeight="1"/>
    <row r="2561" ht="11.25" customHeight="1"/>
    <row r="2562" ht="11.25" customHeight="1"/>
    <row r="2563" ht="11.25" customHeight="1"/>
    <row r="2564" ht="11.25" customHeight="1"/>
    <row r="2565" ht="11.25" customHeight="1"/>
    <row r="2566" ht="11.25" customHeight="1"/>
    <row r="2567" ht="11.25" customHeight="1"/>
    <row r="2568" ht="11.25" customHeight="1"/>
    <row r="2569" ht="11.25" customHeight="1"/>
    <row r="2570" ht="11.25" customHeight="1"/>
    <row r="2571" ht="11.25" customHeight="1"/>
    <row r="2572" ht="11.25" customHeight="1"/>
    <row r="2573" ht="11.25" customHeight="1"/>
    <row r="2574" ht="11.25" customHeight="1"/>
    <row r="2575" ht="11.25" customHeight="1"/>
    <row r="2576" ht="11.25" customHeight="1"/>
    <row r="2577" ht="11.25" customHeight="1"/>
    <row r="2578" ht="11.25" customHeight="1"/>
    <row r="2579" ht="11.25" customHeight="1"/>
    <row r="2580" ht="11.25" customHeight="1"/>
    <row r="2581" ht="11.25" customHeight="1"/>
    <row r="2582" ht="11.25" customHeight="1"/>
    <row r="2583" ht="11.25" customHeight="1"/>
    <row r="2584" ht="11.25" customHeight="1"/>
    <row r="2585" ht="11.25" customHeight="1"/>
    <row r="2586" ht="11.25" customHeight="1"/>
    <row r="2587" ht="11.25" customHeight="1"/>
    <row r="2588" ht="11.25" customHeight="1"/>
    <row r="2589" ht="11.25" customHeight="1"/>
    <row r="2590" ht="11.25" customHeight="1"/>
    <row r="2591" ht="11.25" customHeight="1"/>
    <row r="2592" ht="11.25" customHeight="1"/>
    <row r="2593" ht="11.25" customHeight="1"/>
    <row r="2594" ht="11.25" customHeight="1"/>
    <row r="2595" ht="11.25" customHeight="1"/>
    <row r="2596" ht="11.25" customHeight="1"/>
    <row r="2597" ht="11.25" customHeight="1"/>
    <row r="2598" ht="11.25" customHeight="1"/>
    <row r="2599" ht="11.25" customHeight="1"/>
    <row r="2600" ht="11.25" customHeight="1"/>
    <row r="2601" ht="11.25" customHeight="1"/>
    <row r="2602" ht="11.25" customHeight="1"/>
    <row r="2603" ht="11.25" customHeight="1"/>
    <row r="2604" ht="11.25" customHeight="1"/>
    <row r="2605" ht="11.25" customHeight="1"/>
    <row r="2606" ht="11.25" customHeight="1"/>
    <row r="2607" ht="11.25" customHeight="1"/>
    <row r="2608" ht="11.25" customHeight="1"/>
    <row r="2609" ht="11.25" customHeight="1"/>
    <row r="2610" ht="11.25" customHeight="1"/>
    <row r="2611" ht="11.25" customHeight="1"/>
    <row r="2612" ht="11.25" customHeight="1"/>
    <row r="2613" ht="11.25" customHeight="1"/>
    <row r="2614" ht="11.25" customHeight="1"/>
    <row r="2615" ht="11.25" customHeight="1"/>
    <row r="2616" ht="11.25" customHeight="1"/>
    <row r="2617" ht="11.25" customHeight="1"/>
    <row r="2618" ht="11.25" customHeight="1"/>
    <row r="2619" ht="11.25" customHeight="1"/>
    <row r="2620" ht="11.25" customHeight="1"/>
    <row r="2621" ht="11.25" customHeight="1"/>
    <row r="2622" ht="11.25" customHeight="1"/>
    <row r="2623" ht="11.25" customHeight="1"/>
    <row r="2624" ht="11.25" customHeight="1"/>
    <row r="2625" ht="11.25" customHeight="1"/>
    <row r="2626" ht="11.25" customHeight="1"/>
    <row r="2627" ht="11.25" customHeight="1"/>
    <row r="2628" ht="11.25" customHeight="1"/>
    <row r="2629" ht="11.25" customHeight="1"/>
    <row r="2630" ht="11.25" customHeight="1"/>
    <row r="2631" ht="11.25" customHeight="1"/>
    <row r="2632" ht="11.25" customHeight="1"/>
    <row r="2633" ht="11.25" customHeight="1"/>
    <row r="2634" ht="11.25" customHeight="1"/>
    <row r="2635" ht="11.25" customHeight="1"/>
    <row r="2636" ht="11.25" customHeight="1"/>
    <row r="2637" ht="11.25" customHeight="1"/>
    <row r="2638" ht="11.25" customHeight="1"/>
    <row r="2639" ht="11.25" customHeight="1"/>
    <row r="2640" ht="11.25" customHeight="1"/>
    <row r="2641" ht="11.25" customHeight="1"/>
    <row r="2642" ht="11.25" customHeight="1"/>
    <row r="2643" ht="11.25" customHeight="1"/>
    <row r="2644" ht="11.25" customHeight="1"/>
    <row r="2645" ht="11.25" customHeight="1"/>
    <row r="2646" ht="11.25" customHeight="1"/>
    <row r="2647" ht="11.25" customHeight="1"/>
    <row r="2648" ht="11.25" customHeight="1"/>
    <row r="2649" ht="11.25" customHeight="1"/>
    <row r="2650" ht="11.25" customHeight="1"/>
    <row r="2651" ht="11.25" customHeight="1"/>
    <row r="2652" ht="11.25" customHeight="1"/>
    <row r="2653" ht="11.25" customHeight="1"/>
    <row r="2654" ht="11.25" customHeight="1"/>
    <row r="2655" ht="11.25" customHeight="1"/>
    <row r="2656" ht="11.25" customHeight="1"/>
    <row r="2657" ht="11.25" customHeight="1"/>
    <row r="2658" ht="11.25" customHeight="1"/>
    <row r="2659" ht="11.25" customHeight="1"/>
    <row r="2660" ht="11.25" customHeight="1"/>
    <row r="2661" ht="11.25" customHeight="1"/>
    <row r="2662" ht="11.25" customHeight="1"/>
    <row r="2663" ht="11.25" customHeight="1"/>
    <row r="2664" ht="11.25" customHeight="1"/>
    <row r="2665" ht="11.25" customHeight="1"/>
    <row r="2666" ht="11.25" customHeight="1"/>
    <row r="2667" ht="11.25" customHeight="1"/>
    <row r="2668" ht="11.25" customHeight="1"/>
    <row r="2669" ht="11.25" customHeight="1"/>
    <row r="2670" ht="11.25" customHeight="1"/>
    <row r="2671" ht="11.25" customHeight="1"/>
    <row r="2672" ht="11.25" customHeight="1"/>
    <row r="2673" ht="11.25" customHeight="1"/>
    <row r="2674" ht="11.25" customHeight="1"/>
    <row r="2675" ht="11.25" customHeight="1"/>
    <row r="2676" ht="11.25" customHeight="1"/>
    <row r="2677" ht="11.25" customHeight="1"/>
    <row r="2678" ht="11.25" customHeight="1"/>
    <row r="2679" ht="11.25" customHeight="1"/>
    <row r="2680" ht="11.25" customHeight="1"/>
    <row r="2681" ht="11.25" customHeight="1"/>
    <row r="2682" ht="11.25" customHeight="1"/>
    <row r="2683" ht="11.25" customHeight="1"/>
    <row r="2684" ht="11.25" customHeight="1"/>
    <row r="2685" ht="11.25" customHeight="1"/>
    <row r="2686" ht="11.25" customHeight="1"/>
    <row r="2687" ht="11.25" customHeight="1"/>
    <row r="2688" ht="11.25" customHeight="1"/>
    <row r="2689" ht="11.25" customHeight="1"/>
    <row r="2690" ht="11.25" customHeight="1"/>
    <row r="2691" ht="11.25" customHeight="1"/>
    <row r="2692" ht="11.25" customHeight="1"/>
    <row r="2693" ht="11.25" customHeight="1"/>
    <row r="2694" ht="11.25" customHeight="1"/>
    <row r="2695" ht="11.25" customHeight="1"/>
    <row r="2696" ht="11.25" customHeight="1"/>
    <row r="2697" ht="11.25" customHeight="1"/>
    <row r="2698" ht="11.25" customHeight="1"/>
    <row r="2699" ht="11.25" customHeight="1"/>
    <row r="2700" ht="11.25" customHeight="1"/>
    <row r="2701" ht="11.25" customHeight="1"/>
    <row r="2702" ht="11.25" customHeight="1"/>
    <row r="2703" ht="11.25" customHeight="1"/>
    <row r="2704" ht="11.25" customHeight="1"/>
    <row r="2705" ht="11.25" customHeight="1"/>
    <row r="2706" ht="11.25" customHeight="1"/>
    <row r="2707" ht="11.25" customHeight="1"/>
    <row r="2708" ht="11.25" customHeight="1"/>
    <row r="2709" ht="11.25" customHeight="1"/>
    <row r="2710" ht="11.25" customHeight="1"/>
    <row r="2711" ht="11.25" customHeight="1"/>
    <row r="2712" ht="11.25" customHeight="1"/>
    <row r="2713" ht="11.25" customHeight="1"/>
    <row r="2714" ht="11.25" customHeight="1"/>
    <row r="2715" ht="11.25" customHeight="1"/>
    <row r="2716" ht="11.25" customHeight="1"/>
    <row r="2717" ht="11.25" customHeight="1"/>
    <row r="2718" ht="11.25" customHeight="1"/>
    <row r="2719" ht="11.25" customHeight="1"/>
    <row r="2720" ht="11.25" customHeight="1"/>
    <row r="2721" ht="11.25" customHeight="1"/>
    <row r="2722" ht="11.25" customHeight="1"/>
    <row r="2723" ht="11.25" customHeight="1"/>
    <row r="2724" ht="11.25" customHeight="1"/>
    <row r="2725" ht="11.25" customHeight="1"/>
    <row r="2726" ht="11.25" customHeight="1"/>
    <row r="2727" ht="11.25" customHeight="1"/>
    <row r="2728" ht="11.25" customHeight="1"/>
    <row r="2729" ht="11.25" customHeight="1"/>
    <row r="2730" ht="11.25" customHeight="1"/>
    <row r="2731" ht="11.25" customHeight="1"/>
    <row r="2732" ht="11.25" customHeight="1"/>
    <row r="2733" ht="11.25" customHeight="1"/>
    <row r="2734" ht="11.25" customHeight="1"/>
    <row r="2735" ht="11.25" customHeight="1"/>
    <row r="2736" ht="11.25" customHeight="1"/>
    <row r="2737" ht="11.25" customHeight="1"/>
    <row r="2738" ht="11.25" customHeight="1"/>
    <row r="2739" ht="11.25" customHeight="1"/>
    <row r="2740" ht="11.25" customHeight="1"/>
    <row r="2741" ht="11.25" customHeight="1"/>
    <row r="2742" ht="11.25" customHeight="1"/>
    <row r="2743" ht="11.25" customHeight="1"/>
    <row r="2744" ht="11.25" customHeight="1"/>
    <row r="2745" ht="11.25" customHeight="1"/>
    <row r="2746" ht="11.25" customHeight="1"/>
    <row r="2747" ht="11.25" customHeight="1"/>
    <row r="2748" ht="11.25" customHeight="1"/>
    <row r="2749" ht="11.25" customHeight="1"/>
    <row r="2750" ht="11.25" customHeight="1"/>
    <row r="2751" ht="11.25" customHeight="1"/>
    <row r="2752" ht="11.25" customHeight="1"/>
    <row r="2753" ht="11.25" customHeight="1"/>
    <row r="2754" ht="11.25" customHeight="1"/>
    <row r="2755" ht="11.25" customHeight="1"/>
    <row r="2756" ht="11.25" customHeight="1"/>
    <row r="2757" ht="11.25" customHeight="1"/>
    <row r="2758" ht="11.25" customHeight="1"/>
    <row r="2759" ht="11.25" customHeight="1"/>
    <row r="2760" ht="11.25" customHeight="1"/>
    <row r="2761" ht="11.25" customHeight="1"/>
    <row r="2762" ht="11.25" customHeight="1"/>
    <row r="2763" ht="11.25" customHeight="1"/>
    <row r="2764" ht="11.25" customHeight="1"/>
    <row r="2765" ht="11.25" customHeight="1"/>
    <row r="2766" ht="11.25" customHeight="1"/>
    <row r="2767" ht="11.25" customHeight="1"/>
    <row r="2768" ht="11.25" customHeight="1"/>
    <row r="2769" ht="11.25" customHeight="1"/>
    <row r="2770" ht="11.25" customHeight="1"/>
    <row r="2771" ht="11.25" customHeight="1"/>
    <row r="2772" ht="11.25" customHeight="1"/>
    <row r="2773" ht="11.25" customHeight="1"/>
    <row r="2774" ht="11.25" customHeight="1"/>
    <row r="2775" ht="11.25" customHeight="1"/>
    <row r="2776" ht="11.25" customHeight="1"/>
    <row r="2777" ht="11.25" customHeight="1"/>
    <row r="2778" ht="11.25" customHeight="1"/>
    <row r="2779" ht="11.25" customHeight="1"/>
    <row r="2780" ht="11.25" customHeight="1"/>
    <row r="2781" ht="11.25" customHeight="1"/>
    <row r="2782" ht="11.25" customHeight="1"/>
    <row r="2783" ht="11.25" customHeight="1"/>
    <row r="2784" ht="11.25" customHeight="1"/>
    <row r="2785" ht="11.25" customHeight="1"/>
    <row r="2786" ht="11.25" customHeight="1"/>
    <row r="2787" ht="11.25" customHeight="1"/>
    <row r="2788" ht="11.25" customHeight="1"/>
    <row r="2789" ht="11.25" customHeight="1"/>
    <row r="2790" ht="11.25" customHeight="1"/>
    <row r="2791" ht="11.25" customHeight="1"/>
    <row r="2792" ht="11.25" customHeight="1"/>
    <row r="2793" ht="11.25" customHeight="1"/>
    <row r="2794" ht="11.25" customHeight="1"/>
    <row r="2795" ht="11.25" customHeight="1"/>
    <row r="2796" ht="11.25" customHeight="1"/>
    <row r="2797" ht="11.25" customHeight="1"/>
    <row r="2798" ht="11.25" customHeight="1"/>
    <row r="2799" ht="11.25" customHeight="1"/>
    <row r="2800" ht="11.25" customHeight="1"/>
    <row r="2801" ht="11.25" customHeight="1"/>
    <row r="2802" ht="11.25" customHeight="1"/>
    <row r="2803" ht="11.25" customHeight="1"/>
    <row r="2804" ht="11.25" customHeight="1"/>
    <row r="2805" ht="11.25" customHeight="1"/>
    <row r="2806" ht="11.25" customHeight="1"/>
    <row r="2807" ht="11.25" customHeight="1"/>
    <row r="2808" ht="11.25" customHeight="1"/>
    <row r="2809" ht="11.25" customHeight="1"/>
    <row r="2810" ht="11.25" customHeight="1"/>
    <row r="2811" ht="11.25" customHeight="1"/>
    <row r="2812" ht="11.25" customHeight="1"/>
    <row r="2813" ht="11.25" customHeight="1"/>
    <row r="2814" ht="11.25" customHeight="1"/>
    <row r="2815" ht="11.25" customHeight="1"/>
    <row r="2816" ht="11.25" customHeight="1"/>
    <row r="2817" ht="11.25" customHeight="1"/>
    <row r="2818" ht="11.25" customHeight="1"/>
    <row r="2819" ht="11.25" customHeight="1"/>
    <row r="2820" ht="11.25" customHeight="1"/>
    <row r="2821" ht="11.25" customHeight="1"/>
    <row r="2822" ht="11.25" customHeight="1"/>
    <row r="2823" ht="11.25" customHeight="1"/>
    <row r="2824" ht="11.25" customHeight="1"/>
    <row r="2825" ht="11.25" customHeight="1"/>
    <row r="2826" ht="11.25" customHeight="1"/>
    <row r="2827" ht="11.25" customHeight="1"/>
    <row r="2828" ht="11.25" customHeight="1"/>
    <row r="2829" ht="11.25" customHeight="1"/>
    <row r="2830" ht="11.25" customHeight="1"/>
    <row r="2831" ht="11.25" customHeight="1"/>
    <row r="2832" ht="11.25" customHeight="1"/>
    <row r="2833" ht="11.25" customHeight="1"/>
    <row r="2834" ht="11.25" customHeight="1"/>
    <row r="2835" ht="11.25" customHeight="1"/>
    <row r="2836" ht="11.25" customHeight="1"/>
    <row r="2837" ht="11.25" customHeight="1"/>
    <row r="2838" ht="11.25" customHeight="1"/>
    <row r="2839" ht="11.25" customHeight="1"/>
    <row r="2840" ht="11.25" customHeight="1"/>
    <row r="2841" ht="11.25" customHeight="1"/>
    <row r="2842" ht="11.25" customHeight="1"/>
    <row r="2843" ht="11.25" customHeight="1"/>
    <row r="2844" ht="11.25" customHeight="1"/>
    <row r="2845" ht="11.25" customHeight="1"/>
    <row r="2846" ht="11.25" customHeight="1"/>
    <row r="2847" ht="11.25" customHeight="1"/>
    <row r="2848" ht="11.25" customHeight="1"/>
    <row r="2849" ht="11.25" customHeight="1"/>
    <row r="2850" ht="11.25" customHeight="1"/>
    <row r="2851" ht="11.25" customHeight="1"/>
    <row r="2852" ht="11.25" customHeight="1"/>
    <row r="2853" ht="11.25" customHeight="1"/>
    <row r="2854" ht="11.25" customHeight="1"/>
    <row r="2855" ht="11.25" customHeight="1"/>
    <row r="2856" ht="11.25" customHeight="1"/>
    <row r="2857" ht="11.25" customHeight="1"/>
    <row r="2858" ht="11.25" customHeight="1"/>
    <row r="2859" ht="11.25" customHeight="1"/>
    <row r="2860" ht="11.25" customHeight="1"/>
    <row r="2861" ht="11.25" customHeight="1"/>
    <row r="2862" ht="11.25" customHeight="1"/>
    <row r="2863" ht="11.25" customHeight="1"/>
    <row r="2864" ht="11.25" customHeight="1"/>
    <row r="2865" ht="11.25" customHeight="1"/>
    <row r="2866" ht="11.25" customHeight="1"/>
    <row r="2867" ht="11.25" customHeight="1"/>
    <row r="2868" ht="11.25" customHeight="1"/>
    <row r="2869" ht="11.25" customHeight="1"/>
    <row r="2870" ht="11.25" customHeight="1"/>
    <row r="2871" ht="11.25" customHeight="1"/>
    <row r="2872" ht="11.25" customHeight="1"/>
    <row r="2873" ht="11.25" customHeight="1"/>
    <row r="2874" ht="11.25" customHeight="1"/>
    <row r="2875" ht="11.25" customHeight="1"/>
    <row r="2876" ht="11.25" customHeight="1"/>
    <row r="2877" ht="11.25" customHeight="1"/>
    <row r="2878" ht="11.25" customHeight="1"/>
    <row r="2879" ht="11.25" customHeight="1"/>
    <row r="2880" ht="11.25" customHeight="1"/>
    <row r="2881" ht="11.25" customHeight="1"/>
    <row r="2882" ht="11.25" customHeight="1"/>
    <row r="2883" ht="11.25" customHeight="1"/>
    <row r="2884" ht="11.25" customHeight="1"/>
    <row r="2885" ht="11.25" customHeight="1"/>
    <row r="2886" ht="11.25" customHeight="1"/>
    <row r="2887" ht="11.25" customHeight="1"/>
    <row r="2888" ht="11.25" customHeight="1"/>
    <row r="2889" ht="11.25" customHeight="1"/>
    <row r="2890" ht="11.25" customHeight="1"/>
    <row r="2891" ht="11.25" customHeight="1"/>
    <row r="2892" ht="11.25" customHeight="1"/>
    <row r="2893" ht="11.25" customHeight="1"/>
    <row r="2894" ht="11.25" customHeight="1"/>
    <row r="2895" ht="11.25" customHeight="1"/>
    <row r="2896" ht="11.25" customHeight="1"/>
    <row r="2897" ht="11.25" customHeight="1"/>
    <row r="2898" ht="11.25" customHeight="1"/>
    <row r="2899" ht="11.25" customHeight="1"/>
    <row r="2900" ht="11.25" customHeight="1"/>
    <row r="2901" ht="11.25" customHeight="1"/>
    <row r="2902" ht="11.25" customHeight="1"/>
    <row r="2903" ht="11.25" customHeight="1"/>
    <row r="2904" ht="11.25" customHeight="1"/>
    <row r="2905" ht="11.25" customHeight="1"/>
    <row r="2906" ht="11.25" customHeight="1"/>
    <row r="2907" ht="11.25" customHeight="1"/>
    <row r="2908" ht="11.25" customHeight="1"/>
    <row r="2909" ht="11.25" customHeight="1"/>
    <row r="2910" ht="11.25" customHeight="1"/>
    <row r="2911" ht="11.25" customHeight="1"/>
    <row r="2912" ht="11.25" customHeight="1"/>
    <row r="2913" ht="11.25" customHeight="1"/>
    <row r="2914" ht="11.25" customHeight="1"/>
    <row r="2915" ht="11.25" customHeight="1"/>
    <row r="2916" ht="11.25" customHeight="1"/>
    <row r="2917" ht="11.25" customHeight="1"/>
    <row r="2918" ht="11.25" customHeight="1"/>
    <row r="2919" ht="11.25" customHeight="1"/>
    <row r="2920" ht="11.25" customHeight="1"/>
    <row r="2921" ht="11.25" customHeight="1"/>
    <row r="2922" ht="11.25" customHeight="1"/>
    <row r="2923" ht="11.25" customHeight="1"/>
    <row r="2924" ht="11.25" customHeight="1"/>
    <row r="2925" ht="11.25" customHeight="1"/>
    <row r="2926" ht="11.25" customHeight="1"/>
    <row r="2927" ht="11.25" customHeight="1"/>
    <row r="2928" ht="11.25" customHeight="1"/>
    <row r="2929" ht="11.25" customHeight="1"/>
    <row r="2930" ht="11.25" customHeight="1"/>
    <row r="2931" ht="11.25" customHeight="1"/>
    <row r="2932" ht="11.25" customHeight="1"/>
    <row r="2933" ht="11.25" customHeight="1"/>
    <row r="2934" ht="11.25" customHeight="1"/>
    <row r="2935" ht="11.25" customHeight="1"/>
    <row r="2936" ht="11.25" customHeight="1"/>
    <row r="2937" ht="11.25" customHeight="1"/>
    <row r="2938" ht="11.25" customHeight="1"/>
    <row r="2939" ht="11.25" customHeight="1"/>
    <row r="2940" ht="11.25" customHeight="1"/>
    <row r="2941" ht="11.25" customHeight="1"/>
    <row r="2942" ht="11.25" customHeight="1"/>
    <row r="2943" ht="11.25" customHeight="1"/>
    <row r="2944" ht="11.25" customHeight="1"/>
    <row r="2945" ht="11.25" customHeight="1"/>
    <row r="2946" ht="11.25" customHeight="1"/>
    <row r="2947" ht="11.25" customHeight="1"/>
    <row r="2948" ht="11.25" customHeight="1"/>
    <row r="2949" ht="11.25" customHeight="1"/>
    <row r="2950" ht="11.25" customHeight="1"/>
    <row r="2951" ht="11.25" customHeight="1"/>
    <row r="2952" ht="11.25" customHeight="1"/>
    <row r="2953" ht="11.25" customHeight="1"/>
    <row r="2954" ht="11.25" customHeight="1"/>
    <row r="2955" ht="11.25" customHeight="1"/>
    <row r="2956" ht="11.25" customHeight="1"/>
    <row r="2957" ht="11.25" customHeight="1"/>
    <row r="2958" ht="11.25" customHeight="1"/>
    <row r="2959" ht="11.25" customHeight="1"/>
    <row r="2960" ht="11.25" customHeight="1"/>
    <row r="2961" ht="11.25" customHeight="1"/>
    <row r="2962" ht="11.25" customHeight="1"/>
    <row r="2963" ht="11.25" customHeight="1"/>
    <row r="2964" ht="11.25" customHeight="1"/>
    <row r="2965" ht="11.25" customHeight="1"/>
    <row r="2966" ht="11.25" customHeight="1"/>
    <row r="2967" ht="11.25" customHeight="1"/>
    <row r="2968" ht="11.25" customHeight="1"/>
    <row r="2969" ht="11.25" customHeight="1"/>
    <row r="2970" ht="11.25" customHeight="1"/>
    <row r="2971" ht="11.25" customHeight="1"/>
    <row r="2972" ht="11.25" customHeight="1"/>
    <row r="2973" ht="11.25" customHeight="1"/>
    <row r="2974" ht="11.25" customHeight="1"/>
    <row r="2975" ht="11.25" customHeight="1"/>
    <row r="2976" ht="11.25" customHeight="1"/>
    <row r="2977" ht="11.25" customHeight="1"/>
    <row r="2978" ht="11.25" customHeight="1"/>
    <row r="2979" ht="11.25" customHeight="1"/>
    <row r="2980" ht="11.25" customHeight="1"/>
    <row r="2981" ht="11.25" customHeight="1"/>
    <row r="2982" ht="11.25" customHeight="1"/>
    <row r="2983" ht="11.25" customHeight="1"/>
    <row r="2984" ht="11.25" customHeight="1"/>
    <row r="2985" ht="11.25" customHeight="1"/>
    <row r="2986" ht="11.25" customHeight="1"/>
    <row r="2987" ht="11.25" customHeight="1"/>
    <row r="2988" ht="11.25" customHeight="1"/>
    <row r="2989" ht="11.25" customHeight="1"/>
    <row r="2990" ht="11.25" customHeight="1"/>
    <row r="2991" ht="11.25" customHeight="1"/>
    <row r="2992" ht="11.25" customHeight="1"/>
    <row r="2993" ht="11.25" customHeight="1"/>
    <row r="2994" ht="11.25" customHeight="1"/>
    <row r="2995" ht="11.25" customHeight="1"/>
    <row r="2996" ht="11.25" customHeight="1"/>
    <row r="2997" ht="11.25" customHeight="1"/>
    <row r="2998" ht="11.25" customHeight="1"/>
    <row r="2999" ht="11.25" customHeight="1"/>
  </sheetData>
  <sheetProtection password="DEC3" sheet="1" objects="1" scenarios="1" selectLockedCells="1"/>
  <conditionalFormatting sqref="I16:I63">
    <cfRule type="cellIs" priority="1" dxfId="0" operator="lessThanOrEqual" stopIfTrue="1">
      <formula>0</formula>
    </cfRule>
    <cfRule type="cellIs" priority="2" dxfId="1" operator="greaterThan" stopIfTrue="1">
      <formula>0</formula>
    </cfRule>
  </conditionalFormatting>
  <conditionalFormatting sqref="I67">
    <cfRule type="cellIs" priority="3" dxfId="0" operator="equal" stopIfTrue="1">
      <formula>"YES!"</formula>
    </cfRule>
    <cfRule type="cellIs" priority="4" dxfId="1" operator="equal" stopIfTrue="1">
      <formula>"NO"</formula>
    </cfRule>
  </conditionalFormatting>
  <conditionalFormatting sqref="C8">
    <cfRule type="cellIs" priority="5" dxfId="0" operator="equal" stopIfTrue="1">
      <formula>"TÄYTTÄÄ VAATIMUKSET"</formula>
    </cfRule>
    <cfRule type="cellIs" priority="6" dxfId="1" operator="equal" stopIfTrue="1">
      <formula>"EI TÄYTÄ VAATIMUKSIA"</formula>
    </cfRule>
  </conditionalFormatting>
  <printOptions/>
  <pageMargins left="0.5905511811023623" right="0.5905511811023623" top="0.5905511811023623" bottom="0.3937007874015748" header="0.31496062992125984" footer="0.31496062992125984"/>
  <pageSetup horizontalDpi="600" verticalDpi="600" orientation="portrait" paperSize="9" r:id="rId4"/>
  <headerFooter alignWithMargins="0">
    <oddHeader xml:space="preserve">&amp;L&amp;9FutureConstruct® Energia&amp;R&amp;9&amp;P(&amp;N)  </oddHeader>
  </headerFooter>
  <ignoredErrors>
    <ignoredError sqref="X13:AA13 U13:V13 O36 P13:S13" numberStoredAsText="1"/>
    <ignoredError sqref="Q18:Q29" unlockedFormula="1"/>
    <ignoredError sqref="Z135:AC135" formula="1"/>
  </ignoredErrors>
  <drawing r:id="rId3"/>
  <legacyDrawing r:id="rId2"/>
</worksheet>
</file>

<file path=xl/worksheets/sheet5.xml><?xml version="1.0" encoding="utf-8"?>
<worksheet xmlns="http://schemas.openxmlformats.org/spreadsheetml/2006/main" xmlns:r="http://schemas.openxmlformats.org/officeDocument/2006/relationships">
  <dimension ref="A1:F58"/>
  <sheetViews>
    <sheetView workbookViewId="0" topLeftCell="A1">
      <selection activeCell="C19" sqref="C19"/>
    </sheetView>
  </sheetViews>
  <sheetFormatPr defaultColWidth="9.140625" defaultRowHeight="12.75"/>
  <cols>
    <col min="1" max="1" width="2.00390625" style="1" customWidth="1"/>
    <col min="2" max="2" width="51.140625" style="1" customWidth="1"/>
    <col min="3" max="16384" width="8.8515625" style="1" customWidth="1"/>
  </cols>
  <sheetData>
    <row r="1" spans="1:6" ht="12.75">
      <c r="A1" s="393"/>
      <c r="B1" s="8"/>
      <c r="C1" s="393"/>
      <c r="D1" s="393"/>
      <c r="E1" s="393"/>
      <c r="F1" s="393"/>
    </row>
    <row r="2" spans="1:6" ht="12.75">
      <c r="A2" s="451"/>
      <c r="B2" s="452" t="s">
        <v>533</v>
      </c>
      <c r="C2" s="453" t="str">
        <f>'ET-luvun Laskenta'!C16</f>
        <v>Villa Superi</v>
      </c>
      <c r="D2" s="454"/>
      <c r="E2" s="454"/>
      <c r="F2" s="455"/>
    </row>
    <row r="3" spans="1:6" ht="12.75">
      <c r="A3" s="393"/>
      <c r="B3" s="105" t="s">
        <v>363</v>
      </c>
      <c r="C3" s="5" t="str">
        <f>'ET-luvun Laskenta'!C17</f>
        <v>2-kerroksinen erillinen pientalo</v>
      </c>
      <c r="D3" s="391"/>
      <c r="E3" s="391"/>
      <c r="F3" s="392"/>
    </row>
    <row r="4" spans="1:6" ht="12.75">
      <c r="A4" s="393"/>
      <c r="B4" s="450" t="s">
        <v>534</v>
      </c>
      <c r="C4" s="603"/>
      <c r="D4" s="603"/>
      <c r="E4" s="603"/>
      <c r="F4" s="604"/>
    </row>
    <row r="5" spans="1:6" ht="12.75">
      <c r="A5" s="393"/>
      <c r="B5" s="8"/>
      <c r="C5" s="393"/>
      <c r="D5" s="393"/>
      <c r="E5" s="393"/>
      <c r="F5" s="393"/>
    </row>
    <row r="6" spans="1:6" ht="15.75">
      <c r="A6" s="393"/>
      <c r="B6" s="456" t="s">
        <v>535</v>
      </c>
      <c r="C6" s="457"/>
      <c r="D6" s="457"/>
      <c r="E6" s="457"/>
      <c r="F6" s="458"/>
    </row>
    <row r="7" spans="1:6" ht="12.75">
      <c r="A7" s="208"/>
      <c r="B7" s="318"/>
      <c r="C7" s="459"/>
      <c r="D7" s="459"/>
      <c r="E7" s="459"/>
      <c r="F7" s="460"/>
    </row>
    <row r="8" spans="1:6" ht="12.75">
      <c r="A8" s="451"/>
      <c r="B8" s="452" t="s">
        <v>539</v>
      </c>
      <c r="C8" s="454"/>
      <c r="D8" s="454"/>
      <c r="E8" s="454"/>
      <c r="F8" s="455"/>
    </row>
    <row r="9" spans="1:6" ht="12.75">
      <c r="A9" s="208"/>
      <c r="B9" s="112" t="s">
        <v>543</v>
      </c>
      <c r="C9" s="430" t="s">
        <v>448</v>
      </c>
      <c r="D9" s="430" t="s">
        <v>449</v>
      </c>
      <c r="E9" s="430"/>
      <c r="F9" s="461"/>
    </row>
    <row r="10" spans="1:6" ht="12.75">
      <c r="A10" s="208"/>
      <c r="B10" s="112" t="s">
        <v>542</v>
      </c>
      <c r="C10" s="462" t="str">
        <f>IF('Tasaus- ja energialaskenta'!C22&lt;='ET-luvun Laskenta'!C33*0.5,"X"," ")</f>
        <v>X</v>
      </c>
      <c r="D10" s="463" t="str">
        <f>IF('Tasaus- ja energialaskenta'!C22&gt;'ET-luvun Laskenta'!C33*0.5,"X"," ")</f>
        <v> </v>
      </c>
      <c r="E10" s="430"/>
      <c r="F10" s="461"/>
    </row>
    <row r="11" spans="1:6" ht="12.75">
      <c r="A11" s="208"/>
      <c r="B11" s="112"/>
      <c r="C11" s="430"/>
      <c r="D11" s="430"/>
      <c r="E11" s="430"/>
      <c r="F11" s="461"/>
    </row>
    <row r="12" spans="1:6" ht="12.75">
      <c r="A12" s="208"/>
      <c r="B12" s="112" t="s">
        <v>545</v>
      </c>
      <c r="C12" s="430"/>
      <c r="D12" s="430"/>
      <c r="E12" s="430"/>
      <c r="F12" s="461"/>
    </row>
    <row r="13" spans="1:6" ht="12.75">
      <c r="A13" s="208"/>
      <c r="B13" s="112" t="s">
        <v>546</v>
      </c>
      <c r="C13" s="430" t="s">
        <v>448</v>
      </c>
      <c r="D13" s="430" t="s">
        <v>449</v>
      </c>
      <c r="E13" s="430"/>
      <c r="F13" s="461"/>
    </row>
    <row r="14" spans="1:6" ht="12.75">
      <c r="A14" s="208"/>
      <c r="B14" s="112" t="s">
        <v>541</v>
      </c>
      <c r="C14" s="462" t="str">
        <f>IF('Tasaus- ja energialaskenta'!C29='Tasaus- ja energialaskenta'!D29,"X"," ")</f>
        <v>X</v>
      </c>
      <c r="D14" s="463" t="str">
        <f>IF('Tasaus- ja energialaskenta'!C29&lt;&gt;'Tasaus- ja energialaskenta'!D29,"X"," ")</f>
        <v> </v>
      </c>
      <c r="E14" s="430"/>
      <c r="F14" s="461"/>
    </row>
    <row r="15" spans="1:6" ht="12.75">
      <c r="A15" s="208"/>
      <c r="B15" s="112" t="s">
        <v>540</v>
      </c>
      <c r="C15" s="462" t="str">
        <f>IF('Tasaus- ja energialaskenta'!C44='Tasaus- ja energialaskenta'!D44,"X"," ")</f>
        <v>X</v>
      </c>
      <c r="D15" s="463" t="str">
        <f>IF('Tasaus- ja energialaskenta'!C44&lt;&gt;'Tasaus- ja energialaskenta'!D44,"X"," ")</f>
        <v> </v>
      </c>
      <c r="E15" s="430"/>
      <c r="F15" s="461"/>
    </row>
    <row r="16" spans="1:6" ht="12.75">
      <c r="A16" s="208"/>
      <c r="B16" s="318"/>
      <c r="C16" s="431"/>
      <c r="D16" s="431"/>
      <c r="E16" s="431"/>
      <c r="F16" s="464"/>
    </row>
    <row r="17" spans="1:6" ht="12.75">
      <c r="A17" s="451"/>
      <c r="B17" s="452" t="s">
        <v>547</v>
      </c>
      <c r="C17" s="465"/>
      <c r="D17" s="465"/>
      <c r="E17" s="465"/>
      <c r="F17" s="466"/>
    </row>
    <row r="18" spans="1:6" ht="12.75">
      <c r="A18" s="208"/>
      <c r="B18" s="112"/>
      <c r="C18" s="430" t="s">
        <v>448</v>
      </c>
      <c r="D18" s="430" t="s">
        <v>449</v>
      </c>
      <c r="E18" s="430"/>
      <c r="F18" s="461"/>
    </row>
    <row r="19" spans="1:6" ht="12.75">
      <c r="A19" s="208"/>
      <c r="B19" s="112" t="s">
        <v>548</v>
      </c>
      <c r="C19" s="605" t="s">
        <v>502</v>
      </c>
      <c r="D19" s="606"/>
      <c r="E19" s="430"/>
      <c r="F19" s="461"/>
    </row>
    <row r="20" spans="1:6" ht="12.75">
      <c r="A20" s="208"/>
      <c r="B20" s="112" t="s">
        <v>549</v>
      </c>
      <c r="C20" s="430"/>
      <c r="D20" s="430"/>
      <c r="E20" s="430"/>
      <c r="F20" s="461"/>
    </row>
    <row r="21" spans="1:6" ht="12.75">
      <c r="A21" s="208"/>
      <c r="B21" s="467" t="s">
        <v>550</v>
      </c>
      <c r="C21" s="430" t="s">
        <v>448</v>
      </c>
      <c r="D21" s="430" t="s">
        <v>449</v>
      </c>
      <c r="E21" s="468" t="s">
        <v>552</v>
      </c>
      <c r="F21" s="469" t="s">
        <v>551</v>
      </c>
    </row>
    <row r="22" spans="1:6" ht="12.75">
      <c r="A22" s="208"/>
      <c r="B22" s="112" t="s">
        <v>541</v>
      </c>
      <c r="C22" s="462" t="str">
        <f>IF(F22&lt;=E22,"X"," ")</f>
        <v>X</v>
      </c>
      <c r="D22" s="463" t="str">
        <f>IF(F22&gt;E22,"X"," ")</f>
        <v> </v>
      </c>
      <c r="E22" s="429">
        <v>1.2</v>
      </c>
      <c r="F22" s="470">
        <f>ROUND('Tasaus- ja energialaskenta'!H29/'Tasaus- ja energialaskenta'!G29,1)</f>
        <v>0.8</v>
      </c>
    </row>
    <row r="23" spans="1:6" ht="12.75">
      <c r="A23" s="208"/>
      <c r="B23" s="112" t="s">
        <v>540</v>
      </c>
      <c r="C23" s="462" t="str">
        <f>IF(F23&lt;=E23,"X"," ")</f>
        <v>X</v>
      </c>
      <c r="D23" s="463" t="str">
        <f>IF(F23&gt;E23,"X"," ")</f>
        <v> </v>
      </c>
      <c r="E23" s="429">
        <v>1.2</v>
      </c>
      <c r="F23" s="470">
        <f>IF('Tasaus- ja energialaskenta'!H44=0,1,'Tasaus- ja energialaskenta'!H44/'Tasaus- ja energialaskenta'!G44)</f>
        <v>1</v>
      </c>
    </row>
    <row r="24" spans="1:6" ht="12.75">
      <c r="A24" s="208"/>
      <c r="B24" s="318"/>
      <c r="C24" s="431"/>
      <c r="D24" s="431"/>
      <c r="E24" s="431"/>
      <c r="F24" s="464"/>
    </row>
    <row r="25" spans="1:6" ht="12.75">
      <c r="A25" s="451"/>
      <c r="B25" s="452" t="s">
        <v>553</v>
      </c>
      <c r="C25" s="465"/>
      <c r="D25" s="465"/>
      <c r="E25" s="465"/>
      <c r="F25" s="466"/>
    </row>
    <row r="26" spans="1:6" ht="12.75">
      <c r="A26" s="208"/>
      <c r="B26" s="112" t="s">
        <v>554</v>
      </c>
      <c r="C26" s="430"/>
      <c r="D26" s="430"/>
      <c r="E26" s="468" t="s">
        <v>124</v>
      </c>
      <c r="F26" s="469" t="s">
        <v>125</v>
      </c>
    </row>
    <row r="27" spans="1:6" ht="12.75">
      <c r="A27" s="208"/>
      <c r="B27" s="112" t="s">
        <v>555</v>
      </c>
      <c r="C27" s="430" t="s">
        <v>448</v>
      </c>
      <c r="D27" s="430" t="s">
        <v>449</v>
      </c>
      <c r="E27" s="468" t="s">
        <v>570</v>
      </c>
      <c r="F27" s="469" t="s">
        <v>570</v>
      </c>
    </row>
    <row r="28" spans="1:6" ht="12.75">
      <c r="A28" s="208"/>
      <c r="B28" s="112" t="s">
        <v>541</v>
      </c>
      <c r="C28" s="462" t="str">
        <f>IF(F28&lt;=E28,"X"," ")</f>
        <v>X</v>
      </c>
      <c r="D28" s="463" t="str">
        <f>IF(F28&gt;E28,"X"," ")</f>
        <v> </v>
      </c>
      <c r="E28" s="471">
        <f>'Tasaus- ja energialaskenta'!G63</f>
        <v>189.61999999999998</v>
      </c>
      <c r="F28" s="470">
        <f>'Tasaus- ja energialaskenta'!H63</f>
        <v>112.59666666666665</v>
      </c>
    </row>
    <row r="29" spans="1:6" ht="12.75">
      <c r="A29" s="208"/>
      <c r="B29" s="112" t="s">
        <v>540</v>
      </c>
      <c r="C29" s="462" t="str">
        <f>IF(F29&lt;=E29,"X"," ")</f>
        <v>X</v>
      </c>
      <c r="D29" s="463" t="str">
        <f>IF(F29&gt;E29,"X"," ")</f>
        <v> </v>
      </c>
      <c r="E29" s="471">
        <f>'Tasaus- ja energialaskenta'!G44</f>
        <v>0</v>
      </c>
      <c r="F29" s="470">
        <f>'Tasaus- ja energialaskenta'!H44</f>
        <v>0</v>
      </c>
    </row>
    <row r="30" spans="1:6" ht="12.75">
      <c r="A30" s="208"/>
      <c r="B30" s="318"/>
      <c r="C30" s="431"/>
      <c r="D30" s="431"/>
      <c r="E30" s="431"/>
      <c r="F30" s="464"/>
    </row>
    <row r="31" spans="1:6" ht="12.75">
      <c r="A31" s="451"/>
      <c r="B31" s="452" t="s">
        <v>557</v>
      </c>
      <c r="C31" s="465"/>
      <c r="D31" s="465"/>
      <c r="E31" s="465"/>
      <c r="F31" s="466"/>
    </row>
    <row r="32" spans="1:6" ht="12.75">
      <c r="A32" s="208"/>
      <c r="B32" s="112"/>
      <c r="C32" s="430" t="s">
        <v>448</v>
      </c>
      <c r="D32" s="430" t="s">
        <v>449</v>
      </c>
      <c r="E32" s="430"/>
      <c r="F32" s="461"/>
    </row>
    <row r="33" spans="1:6" ht="12.75">
      <c r="A33" s="472"/>
      <c r="B33" s="473" t="s">
        <v>556</v>
      </c>
      <c r="C33" s="607" t="s">
        <v>502</v>
      </c>
      <c r="D33" s="608"/>
      <c r="E33" s="474"/>
      <c r="F33" s="475"/>
    </row>
    <row r="34" spans="1:6" ht="12.75">
      <c r="A34" s="208"/>
      <c r="B34" s="476"/>
      <c r="C34" s="477"/>
      <c r="D34" s="478"/>
      <c r="E34" s="431"/>
      <c r="F34" s="464"/>
    </row>
    <row r="35" spans="1:6" ht="12.75">
      <c r="A35" s="208"/>
      <c r="B35" s="31"/>
      <c r="C35" s="61"/>
      <c r="D35" s="61"/>
      <c r="E35" s="61"/>
      <c r="F35" s="61"/>
    </row>
    <row r="36" spans="1:6" ht="12.75">
      <c r="A36" s="451"/>
      <c r="B36" s="452" t="s">
        <v>558</v>
      </c>
      <c r="C36" s="465"/>
      <c r="D36" s="465"/>
      <c r="E36" s="465"/>
      <c r="F36" s="466"/>
    </row>
    <row r="37" spans="1:6" ht="12.75">
      <c r="A37" s="208"/>
      <c r="B37" s="112"/>
      <c r="C37" s="430"/>
      <c r="D37" s="430"/>
      <c r="E37" s="430"/>
      <c r="F37" s="461"/>
    </row>
    <row r="38" spans="1:6" ht="12.75">
      <c r="A38" s="451"/>
      <c r="B38" s="452" t="s">
        <v>559</v>
      </c>
      <c r="C38" s="465"/>
      <c r="D38" s="465"/>
      <c r="E38" s="465"/>
      <c r="F38" s="466"/>
    </row>
    <row r="39" spans="1:6" ht="13.5">
      <c r="A39" s="208"/>
      <c r="B39" s="112" t="s">
        <v>560</v>
      </c>
      <c r="C39" s="430"/>
      <c r="D39" s="430"/>
      <c r="E39" s="430"/>
      <c r="F39" s="461"/>
    </row>
    <row r="40" spans="1:6" ht="12.75">
      <c r="A40" s="208"/>
      <c r="B40" s="318" t="s">
        <v>569</v>
      </c>
      <c r="C40" s="431"/>
      <c r="D40" s="431"/>
      <c r="E40" s="431"/>
      <c r="F40" s="464"/>
    </row>
    <row r="41" spans="1:6" ht="12.75">
      <c r="A41" s="451"/>
      <c r="B41" s="452" t="s">
        <v>563</v>
      </c>
      <c r="C41" s="465"/>
      <c r="D41" s="465"/>
      <c r="E41" s="465"/>
      <c r="F41" s="466"/>
    </row>
    <row r="42" spans="1:6" ht="12.75">
      <c r="A42" s="208"/>
      <c r="B42" s="112" t="s">
        <v>561</v>
      </c>
      <c r="C42" s="430"/>
      <c r="D42" s="430"/>
      <c r="E42" s="430"/>
      <c r="F42" s="461"/>
    </row>
    <row r="43" spans="1:6" ht="12.75">
      <c r="A43" s="208"/>
      <c r="B43" s="318" t="s">
        <v>562</v>
      </c>
      <c r="C43" s="431"/>
      <c r="D43" s="431"/>
      <c r="E43" s="431"/>
      <c r="F43" s="464"/>
    </row>
    <row r="44" spans="1:6" ht="12.75">
      <c r="A44" s="208"/>
      <c r="B44" s="31"/>
      <c r="C44" s="61"/>
      <c r="D44" s="61"/>
      <c r="E44" s="61"/>
      <c r="F44" s="61"/>
    </row>
    <row r="45" spans="1:6" ht="12.75">
      <c r="A45" s="208"/>
      <c r="B45" s="31"/>
      <c r="C45" s="61"/>
      <c r="D45" s="61"/>
      <c r="E45" s="61"/>
      <c r="F45" s="61"/>
    </row>
    <row r="46" spans="1:6" ht="12.75">
      <c r="A46" s="451"/>
      <c r="B46" s="452" t="s">
        <v>564</v>
      </c>
      <c r="C46" s="465"/>
      <c r="D46" s="465"/>
      <c r="E46" s="465"/>
      <c r="F46" s="466"/>
    </row>
    <row r="47" spans="1:6" ht="12.75">
      <c r="A47" s="208"/>
      <c r="B47" s="112"/>
      <c r="C47" s="208"/>
      <c r="D47" s="208"/>
      <c r="E47" s="208"/>
      <c r="F47" s="479"/>
    </row>
    <row r="48" spans="1:6" ht="12.75">
      <c r="A48" s="208"/>
      <c r="B48" s="112" t="s">
        <v>566</v>
      </c>
      <c r="C48" s="430"/>
      <c r="D48" s="430"/>
      <c r="E48" s="468" t="s">
        <v>568</v>
      </c>
      <c r="F48" s="469" t="s">
        <v>125</v>
      </c>
    </row>
    <row r="49" spans="1:6" ht="12.75">
      <c r="A49" s="208"/>
      <c r="B49" s="112" t="s">
        <v>565</v>
      </c>
      <c r="C49" s="430" t="s">
        <v>448</v>
      </c>
      <c r="D49" s="430" t="s">
        <v>449</v>
      </c>
      <c r="E49" s="468" t="s">
        <v>570</v>
      </c>
      <c r="F49" s="469" t="s">
        <v>570</v>
      </c>
    </row>
    <row r="50" spans="1:6" ht="12.75">
      <c r="A50" s="208"/>
      <c r="B50" s="112" t="s">
        <v>541</v>
      </c>
      <c r="C50" s="462" t="str">
        <f>IF(F50&lt;=E50,"X"," ")</f>
        <v>X</v>
      </c>
      <c r="D50" s="463" t="str">
        <f>IF(F50&gt;E50,"X"," ")</f>
        <v> </v>
      </c>
      <c r="E50" s="471">
        <f>0.6*E28</f>
        <v>113.77199999999998</v>
      </c>
      <c r="F50" s="470">
        <f>F28</f>
        <v>112.59666666666665</v>
      </c>
    </row>
    <row r="51" spans="1:6" ht="12.75">
      <c r="A51" s="208"/>
      <c r="B51" s="112" t="s">
        <v>540</v>
      </c>
      <c r="C51" s="462" t="str">
        <f>IF(F51&lt;=E51,"X"," ")</f>
        <v>X</v>
      </c>
      <c r="D51" s="463" t="str">
        <f>IF(F51&gt;E51,"X"," ")</f>
        <v> </v>
      </c>
      <c r="E51" s="471">
        <f>0.6*E29</f>
        <v>0</v>
      </c>
      <c r="F51" s="470">
        <f>F29</f>
        <v>0</v>
      </c>
    </row>
    <row r="52" spans="1:6" ht="12.75">
      <c r="A52" s="208"/>
      <c r="B52" s="318"/>
      <c r="C52" s="430"/>
      <c r="D52" s="430"/>
      <c r="E52" s="430"/>
      <c r="F52" s="461"/>
    </row>
    <row r="53" spans="1:6" ht="12.75">
      <c r="A53" s="451"/>
      <c r="B53" s="452" t="s">
        <v>567</v>
      </c>
      <c r="C53" s="480" t="s">
        <v>448</v>
      </c>
      <c r="D53" s="480" t="s">
        <v>449</v>
      </c>
      <c r="E53" s="465"/>
      <c r="F53" s="466"/>
    </row>
    <row r="54" spans="1:6" ht="12.75">
      <c r="A54" s="208"/>
      <c r="B54" s="481" t="s">
        <v>613</v>
      </c>
      <c r="C54" s="605" t="s">
        <v>502</v>
      </c>
      <c r="D54" s="606"/>
      <c r="E54" s="430"/>
      <c r="F54" s="461"/>
    </row>
    <row r="55" spans="1:6" ht="12.75">
      <c r="A55" s="208"/>
      <c r="B55" s="318"/>
      <c r="C55" s="431"/>
      <c r="D55" s="431"/>
      <c r="E55" s="431"/>
      <c r="F55" s="464"/>
    </row>
    <row r="56" spans="1:6" ht="12.75">
      <c r="A56" s="208"/>
      <c r="B56" s="31"/>
      <c r="C56" s="61"/>
      <c r="D56" s="61"/>
      <c r="E56" s="61"/>
      <c r="F56" s="61"/>
    </row>
    <row r="57" spans="1:6" ht="12.75">
      <c r="A57" s="208"/>
      <c r="B57" s="31"/>
      <c r="C57" s="61"/>
      <c r="D57" s="61"/>
      <c r="E57" s="61"/>
      <c r="F57" s="61"/>
    </row>
    <row r="58" spans="1:6" ht="12.75">
      <c r="A58" s="208"/>
      <c r="B58" s="377" t="s">
        <v>626</v>
      </c>
      <c r="C58" s="208"/>
      <c r="D58" s="208"/>
      <c r="E58" s="208"/>
      <c r="F58" s="208"/>
    </row>
  </sheetData>
  <sheetProtection password="DEC3" sheet="1" objects="1" scenarios="1" selectLockedCells="1"/>
  <printOptions/>
  <pageMargins left="0.5905511811023623" right="0.5905511811023623" top="0.5905511811023623" bottom="0.3937007874015748" header="0.31496062992125984" footer="0.31496062992125984"/>
  <pageSetup horizontalDpi="600" verticalDpi="600" orientation="portrait" paperSize="9" r:id="rId3"/>
  <headerFooter alignWithMargins="0">
    <oddHeader xml:space="preserve">&amp;L&amp;9FutureConstruct® Energia&amp;R&amp;P(&amp;N)  </oddHeader>
  </headerFooter>
  <legacyDrawing r:id="rId2"/>
</worksheet>
</file>

<file path=xl/worksheets/sheet6.xml><?xml version="1.0" encoding="utf-8"?>
<worksheet xmlns="http://schemas.openxmlformats.org/spreadsheetml/2006/main" xmlns:r="http://schemas.openxmlformats.org/officeDocument/2006/relationships">
  <dimension ref="B1:W89"/>
  <sheetViews>
    <sheetView workbookViewId="0" topLeftCell="A1">
      <selection activeCell="C14" sqref="C14"/>
    </sheetView>
  </sheetViews>
  <sheetFormatPr defaultColWidth="9.140625" defaultRowHeight="12.75"/>
  <cols>
    <col min="1" max="1" width="2.00390625" style="487" customWidth="1"/>
    <col min="2" max="2" width="39.7109375" style="487" customWidth="1"/>
    <col min="3" max="3" width="39.7109375" style="500" customWidth="1"/>
    <col min="4" max="4" width="10.28125" style="501" customWidth="1"/>
    <col min="5" max="16384" width="8.8515625" style="487" customWidth="1"/>
  </cols>
  <sheetData>
    <row r="1" spans="2:23" s="308" customFormat="1" ht="12">
      <c r="B1" s="667"/>
      <c r="C1" s="482"/>
      <c r="D1" s="483"/>
      <c r="E1" s="317"/>
      <c r="F1" s="668"/>
      <c r="G1" s="484"/>
      <c r="H1" s="485"/>
      <c r="N1" s="486"/>
      <c r="W1" s="487"/>
    </row>
    <row r="2" spans="2:23" s="311" customFormat="1" ht="15.75">
      <c r="B2" s="488" t="s">
        <v>67</v>
      </c>
      <c r="C2" s="489"/>
      <c r="D2" s="490"/>
      <c r="E2" s="312"/>
      <c r="F2" s="491"/>
      <c r="G2" s="492"/>
      <c r="H2" s="493"/>
      <c r="I2" s="491"/>
      <c r="J2" s="491"/>
      <c r="N2" s="491"/>
      <c r="W2" s="494"/>
    </row>
    <row r="3" spans="2:23" s="308" customFormat="1" ht="12">
      <c r="B3" s="495"/>
      <c r="C3" s="482"/>
      <c r="D3" s="483"/>
      <c r="E3" s="317"/>
      <c r="F3" s="496"/>
      <c r="G3" s="497"/>
      <c r="H3" s="498"/>
      <c r="I3" s="486"/>
      <c r="J3" s="486"/>
      <c r="K3" s="486"/>
      <c r="L3" s="486"/>
      <c r="M3" s="486"/>
      <c r="N3" s="486"/>
      <c r="W3" s="487"/>
    </row>
    <row r="4" ht="12.75">
      <c r="B4" s="499" t="s">
        <v>620</v>
      </c>
    </row>
    <row r="5" ht="12"/>
    <row r="6" spans="2:3" ht="12">
      <c r="B6" s="515" t="s">
        <v>533</v>
      </c>
      <c r="C6" s="502" t="str">
        <f>'ET-luvun Laskenta'!$C$16</f>
        <v>Villa Superi</v>
      </c>
    </row>
    <row r="7" spans="2:3" ht="12">
      <c r="B7" s="487" t="s">
        <v>363</v>
      </c>
      <c r="C7" s="503" t="str">
        <f>'ET-luvun Laskenta'!$C$17</f>
        <v>2-kerroksinen erillinen pientalo</v>
      </c>
    </row>
    <row r="8" spans="2:3" ht="12">
      <c r="B8" s="487" t="s">
        <v>364</v>
      </c>
      <c r="C8" s="503" t="str">
        <f>'ET-luvun Laskenta'!C18</f>
        <v>Omakotikatu 2</v>
      </c>
    </row>
    <row r="9" spans="2:3" ht="12">
      <c r="B9" s="487" t="s">
        <v>672</v>
      </c>
      <c r="C9" s="503" t="str">
        <f>'ET-luvun Laskenta'!$C$19</f>
        <v>FI-02760 Espoo</v>
      </c>
    </row>
    <row r="10" spans="2:3" ht="12">
      <c r="B10" s="487" t="s">
        <v>365</v>
      </c>
      <c r="C10" s="503" t="str">
        <f>'ET-luvun Laskenta'!C20</f>
        <v>49-12-34-56</v>
      </c>
    </row>
    <row r="11" spans="2:4" ht="12">
      <c r="B11" s="487" t="s">
        <v>614</v>
      </c>
      <c r="C11" s="723"/>
      <c r="D11" s="504"/>
    </row>
    <row r="12" spans="2:4" ht="12">
      <c r="B12" s="487" t="s">
        <v>615</v>
      </c>
      <c r="C12" s="503" t="str">
        <f>'ET-luvun Laskenta'!C4</f>
        <v>Lasse Laihiala</v>
      </c>
      <c r="D12" s="504"/>
    </row>
    <row r="13" spans="2:4" ht="12">
      <c r="B13" s="487" t="s">
        <v>616</v>
      </c>
      <c r="C13" s="505" t="str">
        <f>'ET-luvun Laskenta'!C6</f>
        <v>Päivi Päämies</v>
      </c>
      <c r="D13" s="504"/>
    </row>
    <row r="14" spans="2:4" ht="12">
      <c r="B14" s="487" t="s">
        <v>617</v>
      </c>
      <c r="C14" s="723"/>
      <c r="D14" s="504"/>
    </row>
    <row r="15" spans="2:4" ht="12">
      <c r="B15" s="487" t="s">
        <v>618</v>
      </c>
      <c r="C15" s="723"/>
      <c r="D15" s="504"/>
    </row>
    <row r="16" spans="2:4" ht="24">
      <c r="B16" s="487" t="s">
        <v>53</v>
      </c>
      <c r="C16" s="752"/>
      <c r="D16" s="504"/>
    </row>
    <row r="17" ht="12">
      <c r="D17" s="504"/>
    </row>
    <row r="18" spans="2:4" ht="25.5">
      <c r="B18" s="499" t="s">
        <v>621</v>
      </c>
      <c r="D18" s="504"/>
    </row>
    <row r="19" ht="12">
      <c r="D19" s="504"/>
    </row>
    <row r="20" spans="2:4" ht="24">
      <c r="B20" s="487" t="s">
        <v>619</v>
      </c>
      <c r="C20" s="506">
        <f>'Tasaus- ja energialaskenta'!H63</f>
        <v>112.59666666666665</v>
      </c>
      <c r="D20" s="504" t="s">
        <v>662</v>
      </c>
    </row>
    <row r="21" spans="2:4" ht="24">
      <c r="B21" s="487" t="s">
        <v>663</v>
      </c>
      <c r="C21" s="506">
        <f>'Tasaus- ja energialaskenta'!H63/'Tasaus- ja energialaskenta'!G63*100</f>
        <v>59.38016383644482</v>
      </c>
      <c r="D21" s="504" t="s">
        <v>445</v>
      </c>
    </row>
    <row r="22" spans="2:4" ht="36">
      <c r="B22" s="487" t="s">
        <v>59</v>
      </c>
      <c r="D22" s="504"/>
    </row>
    <row r="23" ht="12">
      <c r="D23" s="504"/>
    </row>
    <row r="24" spans="2:4" ht="25.5">
      <c r="B24" s="499" t="s">
        <v>622</v>
      </c>
      <c r="D24" s="504"/>
    </row>
    <row r="25" ht="12">
      <c r="D25" s="504"/>
    </row>
    <row r="26" spans="2:4" ht="48">
      <c r="B26" s="487" t="s">
        <v>623</v>
      </c>
      <c r="C26" s="723" t="s">
        <v>732</v>
      </c>
      <c r="D26" s="504"/>
    </row>
    <row r="27" spans="2:4" ht="24">
      <c r="B27" s="487" t="s">
        <v>580</v>
      </c>
      <c r="C27" s="507">
        <f>'ET-luvun Laskenta'!D95</f>
        <v>1.62</v>
      </c>
      <c r="D27" s="504" t="s">
        <v>683</v>
      </c>
    </row>
    <row r="28" spans="2:4" ht="40.5">
      <c r="B28" s="487" t="s">
        <v>687</v>
      </c>
      <c r="D28" s="504"/>
    </row>
    <row r="29" ht="12">
      <c r="D29" s="504"/>
    </row>
    <row r="30" spans="2:4" ht="25.5">
      <c r="B30" s="499" t="s">
        <v>726</v>
      </c>
      <c r="D30" s="504"/>
    </row>
    <row r="31" ht="12">
      <c r="D31" s="504"/>
    </row>
    <row r="32" spans="2:4" ht="12">
      <c r="B32" s="487" t="s">
        <v>627</v>
      </c>
      <c r="C32" s="505" t="str">
        <f>'ET-luvun Laskenta'!C102</f>
        <v>Maalämpöpumppu</v>
      </c>
      <c r="D32" s="504"/>
    </row>
    <row r="33" spans="2:4" ht="40.5">
      <c r="B33" s="487" t="s">
        <v>673</v>
      </c>
      <c r="C33" s="724" t="s">
        <v>113</v>
      </c>
      <c r="D33" s="504"/>
    </row>
    <row r="34" spans="2:4" ht="13.5">
      <c r="B34" s="487" t="s">
        <v>628</v>
      </c>
      <c r="C34" s="507">
        <f>'ET-luvun Laskenta'!D66</f>
        <v>-26</v>
      </c>
      <c r="D34" s="508" t="s">
        <v>684</v>
      </c>
    </row>
    <row r="35" spans="2:3" ht="24">
      <c r="B35" s="487" t="s">
        <v>629</v>
      </c>
      <c r="C35" s="724" t="s">
        <v>706</v>
      </c>
    </row>
    <row r="36" spans="2:4" ht="12">
      <c r="B36" s="487" t="s">
        <v>592</v>
      </c>
      <c r="C36" s="505">
        <f>'ET-luvun Laskenta'!D100</f>
        <v>0.34</v>
      </c>
      <c r="D36" s="501" t="s">
        <v>595</v>
      </c>
    </row>
    <row r="37" spans="2:4" ht="12">
      <c r="B37" s="487" t="s">
        <v>630</v>
      </c>
      <c r="C37" s="506">
        <f>'Tasaus- ja energialaskenta'!AU90</f>
        <v>5.664251851851851</v>
      </c>
      <c r="D37" s="501" t="s">
        <v>579</v>
      </c>
    </row>
    <row r="38" spans="2:4" ht="24">
      <c r="B38" s="487" t="s">
        <v>631</v>
      </c>
      <c r="C38" s="506">
        <f>'Tasaus- ja energialaskenta'!AT89/'ET-luvun Laskenta'!D109</f>
        <v>0.19349999999999992</v>
      </c>
      <c r="D38" s="501" t="s">
        <v>579</v>
      </c>
    </row>
    <row r="39" ht="54">
      <c r="C39" s="725" t="s">
        <v>733</v>
      </c>
    </row>
    <row r="40" spans="2:4" ht="12">
      <c r="B40" s="487" t="s">
        <v>632</v>
      </c>
      <c r="C40" s="506">
        <f>'Tasaus- ja energialaskenta'!AU93</f>
        <v>17.950000000000003</v>
      </c>
      <c r="D40" s="501" t="s">
        <v>579</v>
      </c>
    </row>
    <row r="41" ht="24">
      <c r="C41" s="725" t="s">
        <v>16</v>
      </c>
    </row>
    <row r="42" ht="12">
      <c r="C42" s="509"/>
    </row>
    <row r="43" spans="2:4" s="669" customFormat="1" ht="12.75">
      <c r="B43" s="748" t="s">
        <v>676</v>
      </c>
      <c r="D43" s="670"/>
    </row>
    <row r="44" ht="12"/>
    <row r="45" spans="2:4" ht="27">
      <c r="B45" s="487" t="s">
        <v>686</v>
      </c>
      <c r="C45" s="510" t="s">
        <v>682</v>
      </c>
      <c r="D45" s="517" t="s">
        <v>596</v>
      </c>
    </row>
    <row r="46" spans="3:4" ht="13.5">
      <c r="C46" s="512"/>
      <c r="D46" s="671"/>
    </row>
    <row r="47" spans="2:4" ht="12">
      <c r="B47" s="487" t="s">
        <v>677</v>
      </c>
      <c r="C47" s="507">
        <f>'Tasaus- ja energialaskenta'!AP18</f>
        <v>21.00002398226463</v>
      </c>
      <c r="D47" s="672">
        <f>'Tasaus- ja energialaskenta'!AR18</f>
        <v>21.00002398226463</v>
      </c>
    </row>
    <row r="48" spans="2:4" ht="12">
      <c r="B48" s="487" t="s">
        <v>678</v>
      </c>
      <c r="C48" s="507">
        <f>'Tasaus- ja energialaskenta'!AP19</f>
        <v>21.00314491424748</v>
      </c>
      <c r="D48" s="672">
        <f>'Tasaus- ja energialaskenta'!AR19</f>
        <v>21.00314491424748</v>
      </c>
    </row>
    <row r="49" spans="2:4" ht="12">
      <c r="B49" s="487" t="s">
        <v>685</v>
      </c>
      <c r="C49" s="507">
        <f>'Tasaus- ja energialaskenta'!AP20</f>
        <v>21.582175710722872</v>
      </c>
      <c r="D49" s="672">
        <f>'Tasaus- ja energialaskenta'!AR20</f>
        <v>21.582175710722872</v>
      </c>
    </row>
    <row r="50" spans="2:4" ht="12">
      <c r="B50" s="487" t="s">
        <v>638</v>
      </c>
      <c r="C50" s="507">
        <f>'Tasaus- ja energialaskenta'!AP21</f>
        <v>24.82667306817753</v>
      </c>
      <c r="D50" s="672">
        <f>'Tasaus- ja energialaskenta'!AR21</f>
        <v>23</v>
      </c>
    </row>
    <row r="51" spans="2:4" ht="12">
      <c r="B51" s="487" t="s">
        <v>639</v>
      </c>
      <c r="C51" s="507">
        <f>'Tasaus- ja energialaskenta'!AP22</f>
        <v>26.01101925282156</v>
      </c>
      <c r="D51" s="672">
        <f>'Tasaus- ja energialaskenta'!AR22</f>
        <v>23</v>
      </c>
    </row>
    <row r="52" spans="2:4" ht="12">
      <c r="B52" s="487" t="s">
        <v>642</v>
      </c>
      <c r="C52" s="507">
        <f>'Tasaus- ja energialaskenta'!AP23</f>
        <v>28.665119589068723</v>
      </c>
      <c r="D52" s="672">
        <f>'Tasaus- ja energialaskenta'!AR23</f>
        <v>23</v>
      </c>
    </row>
    <row r="53" spans="2:4" ht="12">
      <c r="B53" s="487" t="s">
        <v>643</v>
      </c>
      <c r="C53" s="507">
        <f>'Tasaus- ja energialaskenta'!AP24</f>
        <v>27.206689209222077</v>
      </c>
      <c r="D53" s="672">
        <f>'Tasaus- ja energialaskenta'!AR24</f>
        <v>23</v>
      </c>
    </row>
    <row r="54" spans="2:4" ht="12">
      <c r="B54" s="487" t="s">
        <v>644</v>
      </c>
      <c r="C54" s="507">
        <f>'Tasaus- ja energialaskenta'!AP25</f>
        <v>28.140088589407124</v>
      </c>
      <c r="D54" s="672">
        <f>'Tasaus- ja energialaskenta'!AR25</f>
        <v>23</v>
      </c>
    </row>
    <row r="55" spans="2:4" ht="12">
      <c r="B55" s="487" t="s">
        <v>645</v>
      </c>
      <c r="C55" s="507">
        <f>'Tasaus- ja energialaskenta'!AP26</f>
        <v>24.4664014038874</v>
      </c>
      <c r="D55" s="672">
        <f>'Tasaus- ja energialaskenta'!AR26</f>
        <v>23</v>
      </c>
    </row>
    <row r="56" spans="2:4" ht="12">
      <c r="B56" s="487" t="s">
        <v>679</v>
      </c>
      <c r="C56" s="507">
        <f>'Tasaus- ja energialaskenta'!AP27</f>
        <v>22.525777624289262</v>
      </c>
      <c r="D56" s="672">
        <f>'Tasaus- ja energialaskenta'!AR27</f>
        <v>22.525777624289262</v>
      </c>
    </row>
    <row r="57" spans="2:4" ht="12">
      <c r="B57" s="487" t="s">
        <v>680</v>
      </c>
      <c r="C57" s="507">
        <f>'Tasaus- ja energialaskenta'!AP28</f>
        <v>21.08228831027806</v>
      </c>
      <c r="D57" s="672">
        <f>'Tasaus- ja energialaskenta'!AR28</f>
        <v>21.08228831027806</v>
      </c>
    </row>
    <row r="58" spans="2:4" ht="12">
      <c r="B58" s="487" t="s">
        <v>681</v>
      </c>
      <c r="C58" s="507">
        <f>'Tasaus- ja energialaskenta'!AP29</f>
        <v>21.000904129353376</v>
      </c>
      <c r="D58" s="672">
        <f>'Tasaus- ja energialaskenta'!AR29</f>
        <v>21.000904129353376</v>
      </c>
    </row>
    <row r="59" spans="3:4" ht="12">
      <c r="C59" s="507"/>
      <c r="D59" s="672"/>
    </row>
    <row r="60" spans="2:4" ht="24">
      <c r="B60" s="487" t="s">
        <v>661</v>
      </c>
      <c r="C60" s="512">
        <f>'ET-luvun Laskenta'!D60</f>
        <v>23</v>
      </c>
      <c r="D60" s="513" t="s">
        <v>684</v>
      </c>
    </row>
    <row r="61" spans="2:3" ht="48">
      <c r="B61" s="487" t="s">
        <v>657</v>
      </c>
      <c r="C61" s="723" t="s">
        <v>694</v>
      </c>
    </row>
    <row r="62" ht="12">
      <c r="C62" s="752"/>
    </row>
    <row r="63" spans="2:3" ht="121.5">
      <c r="B63" s="487" t="s">
        <v>633</v>
      </c>
      <c r="C63" s="723" t="s">
        <v>115</v>
      </c>
    </row>
    <row r="64" ht="12"/>
    <row r="65" ht="25.5">
      <c r="B65" s="499" t="s">
        <v>634</v>
      </c>
    </row>
    <row r="66" ht="12"/>
    <row r="67" spans="2:4" ht="36">
      <c r="B67" s="487" t="s">
        <v>635</v>
      </c>
      <c r="C67" s="511" t="s">
        <v>689</v>
      </c>
      <c r="D67" s="517" t="s">
        <v>688</v>
      </c>
    </row>
    <row r="68" spans="2:4" ht="12">
      <c r="B68" s="487" t="s">
        <v>646</v>
      </c>
      <c r="C68" s="512">
        <f>'Tasaus- ja energialaskenta'!Z92</f>
        <v>13962.69993958958</v>
      </c>
      <c r="D68" s="514">
        <f>'Tasaus- ja energialaskenta'!AA92</f>
        <v>69.8134996979479</v>
      </c>
    </row>
    <row r="69" spans="2:4" ht="12">
      <c r="B69" s="487" t="s">
        <v>647</v>
      </c>
      <c r="C69" s="512">
        <f>'Tasaus- ja energialaskenta'!Z93</f>
        <v>10000.000000000002</v>
      </c>
      <c r="D69" s="514">
        <f>'Tasaus- ja energialaskenta'!AA93</f>
        <v>50.00000000000001</v>
      </c>
    </row>
    <row r="70" ht="12">
      <c r="B70" s="487" t="s">
        <v>648</v>
      </c>
    </row>
    <row r="71" spans="2:4" ht="12">
      <c r="B71" s="487" t="s">
        <v>636</v>
      </c>
      <c r="C71" s="512">
        <f>SUM(C68:C70)</f>
        <v>23962.699939589584</v>
      </c>
      <c r="D71" s="514">
        <f>'Tasaus- ja energialaskenta'!AA94</f>
        <v>119.81349969794792</v>
      </c>
    </row>
    <row r="72" ht="12"/>
    <row r="73" spans="2:4" ht="36">
      <c r="B73" s="487" t="s">
        <v>32</v>
      </c>
      <c r="C73" s="511" t="s">
        <v>689</v>
      </c>
      <c r="D73" s="517" t="s">
        <v>688</v>
      </c>
    </row>
    <row r="74" spans="2:4" ht="12">
      <c r="B74" s="487" t="s">
        <v>690</v>
      </c>
      <c r="C74" s="847">
        <v>13490.674984897396</v>
      </c>
      <c r="D74" s="514">
        <f>IF(C74=0,"",C74/'ET-luvun Laskenta'!C28)</f>
        <v>67.45337492448698</v>
      </c>
    </row>
    <row r="75" spans="2:4" ht="12">
      <c r="B75" s="487" t="s">
        <v>691</v>
      </c>
      <c r="C75" s="847"/>
      <c r="D75" s="514">
        <f>IF(C75=0,"",C75/'ET-luvun Laskenta'!C28)</f>
      </c>
    </row>
    <row r="76" spans="2:4" ht="12">
      <c r="B76" s="487" t="s">
        <v>692</v>
      </c>
      <c r="C76" s="847"/>
      <c r="D76" s="514">
        <f>IF(C76=0,"",C76/'ET-luvun Laskenta'!C28)</f>
      </c>
    </row>
    <row r="77" spans="2:4" ht="12">
      <c r="B77" s="487" t="s">
        <v>693</v>
      </c>
      <c r="C77" s="847"/>
      <c r="D77" s="514">
        <f>IF(C77=0,"",C77/'ET-luvun Laskenta'!C28)</f>
      </c>
    </row>
    <row r="78" ht="12"/>
    <row r="79" ht="12.75">
      <c r="B79" s="499" t="s">
        <v>637</v>
      </c>
    </row>
    <row r="80" ht="12">
      <c r="B80" s="515"/>
    </row>
    <row r="81" spans="2:3" ht="24">
      <c r="B81" s="487" t="s">
        <v>650</v>
      </c>
      <c r="C81" s="726" t="s">
        <v>116</v>
      </c>
    </row>
    <row r="82" spans="2:4" ht="27">
      <c r="B82" s="487" t="s">
        <v>649</v>
      </c>
      <c r="C82" s="516">
        <f>Energiatodistus!J32</f>
        <v>130</v>
      </c>
      <c r="D82" s="517" t="s">
        <v>688</v>
      </c>
    </row>
    <row r="83" ht="12">
      <c r="B83" s="487" t="s">
        <v>60</v>
      </c>
    </row>
    <row r="85" spans="2:3" ht="11.25">
      <c r="B85" s="487" t="s">
        <v>658</v>
      </c>
      <c r="C85" s="751" t="s">
        <v>656</v>
      </c>
    </row>
    <row r="86" spans="2:3" ht="22.5">
      <c r="B86" s="487" t="s">
        <v>660</v>
      </c>
      <c r="C86" s="494" t="s">
        <v>654</v>
      </c>
    </row>
    <row r="87" spans="2:3" ht="22.5">
      <c r="B87" s="487" t="s">
        <v>659</v>
      </c>
      <c r="C87" s="505" t="str">
        <f>'ET-luvun Laskenta'!C64</f>
        <v>I  Helsinki-Vantaa 1979</v>
      </c>
    </row>
    <row r="89" spans="2:4" s="208" customFormat="1" ht="11.25">
      <c r="B89" s="377" t="s">
        <v>655</v>
      </c>
      <c r="C89" s="749"/>
      <c r="D89" s="750"/>
    </row>
  </sheetData>
  <sheetProtection password="DEC3" sheet="1" objects="1" scenarios="1" selectLockedCells="1"/>
  <printOptions/>
  <pageMargins left="0.5905511811023623" right="0.5905511811023623" top="0.5905511811023623" bottom="0.3937007874015748" header="0.31496062992125984" footer="0.31496062992125984"/>
  <pageSetup horizontalDpi="600" verticalDpi="600" orientation="portrait" paperSize="9" r:id="rId3"/>
  <headerFooter alignWithMargins="0">
    <oddHeader>&amp;L&amp;9FutureConstruct® Energia&amp;R&amp;9&amp;P(&amp;N)</oddHeader>
  </headerFooter>
  <legacyDrawing r:id="rId2"/>
</worksheet>
</file>

<file path=xl/worksheets/sheet7.xml><?xml version="1.0" encoding="utf-8"?>
<worksheet xmlns="http://schemas.openxmlformats.org/spreadsheetml/2006/main" xmlns:r="http://schemas.openxmlformats.org/officeDocument/2006/relationships">
  <dimension ref="B1:K89"/>
  <sheetViews>
    <sheetView workbookViewId="0" topLeftCell="A18">
      <selection activeCell="B27" sqref="B27"/>
    </sheetView>
  </sheetViews>
  <sheetFormatPr defaultColWidth="9.140625" defaultRowHeight="12.75"/>
  <cols>
    <col min="1" max="1" width="2.00390625" style="666" customWidth="1"/>
    <col min="2" max="2" width="89.7109375" style="666" customWidth="1"/>
    <col min="3" max="3" width="13.57421875" style="666" customWidth="1"/>
    <col min="4" max="16384" width="8.8515625" style="666" customWidth="1"/>
  </cols>
  <sheetData>
    <row r="1" ht="15">
      <c r="B1" s="665" t="s">
        <v>108</v>
      </c>
    </row>
    <row r="3" spans="2:11" ht="12.75">
      <c r="B3" s="778" t="s">
        <v>326</v>
      </c>
      <c r="C3" s="779"/>
      <c r="D3" s="779"/>
      <c r="E3" s="779"/>
      <c r="F3" s="779"/>
      <c r="G3" s="779"/>
      <c r="H3" s="779"/>
      <c r="I3" s="779"/>
      <c r="J3" s="779"/>
      <c r="K3" s="779"/>
    </row>
    <row r="5" ht="52.5">
      <c r="B5" s="666" t="s">
        <v>17</v>
      </c>
    </row>
    <row r="7" ht="12.75">
      <c r="B7" s="665" t="s">
        <v>109</v>
      </c>
    </row>
    <row r="8" ht="12.75">
      <c r="B8" s="665" t="s">
        <v>110</v>
      </c>
    </row>
    <row r="9" ht="12.75">
      <c r="B9" s="665" t="s">
        <v>111</v>
      </c>
    </row>
    <row r="10" ht="12.75">
      <c r="B10" s="665" t="s">
        <v>112</v>
      </c>
    </row>
    <row r="11" ht="12.75">
      <c r="B11" s="666" t="s">
        <v>120</v>
      </c>
    </row>
    <row r="12" ht="12.75">
      <c r="B12" s="665" t="s">
        <v>107</v>
      </c>
    </row>
    <row r="13" ht="26.25">
      <c r="B13" s="665" t="s">
        <v>64</v>
      </c>
    </row>
    <row r="14" ht="26.25">
      <c r="B14" s="665" t="s">
        <v>47</v>
      </c>
    </row>
    <row r="15" ht="12.75">
      <c r="B15" s="665"/>
    </row>
    <row r="16" ht="52.5">
      <c r="B16" s="666" t="s">
        <v>20</v>
      </c>
    </row>
    <row r="17" ht="78.75">
      <c r="B17" s="831" t="s">
        <v>39</v>
      </c>
    </row>
    <row r="19" ht="39">
      <c r="B19" s="666" t="s">
        <v>117</v>
      </c>
    </row>
    <row r="20" ht="39">
      <c r="B20" s="666" t="s">
        <v>86</v>
      </c>
    </row>
    <row r="21" ht="66">
      <c r="B21" s="666" t="s">
        <v>1</v>
      </c>
    </row>
    <row r="22" ht="39">
      <c r="B22" s="666" t="s">
        <v>66</v>
      </c>
    </row>
    <row r="24" ht="39">
      <c r="B24" s="666" t="s">
        <v>734</v>
      </c>
    </row>
    <row r="26" ht="12.75">
      <c r="B26" s="666" t="s">
        <v>327</v>
      </c>
    </row>
    <row r="27" ht="12.75">
      <c r="B27" s="850" t="s">
        <v>12</v>
      </c>
    </row>
    <row r="28" ht="12.75">
      <c r="B28" s="780" t="s">
        <v>349</v>
      </c>
    </row>
    <row r="29" ht="12.75">
      <c r="B29" s="851" t="s">
        <v>536</v>
      </c>
    </row>
    <row r="30" ht="12.75">
      <c r="B30" s="666" t="s">
        <v>328</v>
      </c>
    </row>
    <row r="31" ht="12.75">
      <c r="B31" s="850" t="s">
        <v>13</v>
      </c>
    </row>
    <row r="32" ht="12.75">
      <c r="B32" s="666" t="s">
        <v>351</v>
      </c>
    </row>
    <row r="33" ht="12.75">
      <c r="B33" s="850" t="s">
        <v>537</v>
      </c>
    </row>
    <row r="34" ht="12.75">
      <c r="B34" s="666" t="s">
        <v>350</v>
      </c>
    </row>
    <row r="35" ht="12.75">
      <c r="B35" s="850" t="s">
        <v>538</v>
      </c>
    </row>
    <row r="39" ht="12.75">
      <c r="B39" s="778" t="s">
        <v>61</v>
      </c>
    </row>
    <row r="41" ht="12.75">
      <c r="B41" s="666" t="s">
        <v>63</v>
      </c>
    </row>
    <row r="42" ht="52.5">
      <c r="B42" s="848" t="s">
        <v>73</v>
      </c>
    </row>
    <row r="43" ht="12.75">
      <c r="B43" s="848" t="s">
        <v>71</v>
      </c>
    </row>
    <row r="45" ht="12.75">
      <c r="B45" s="665" t="s">
        <v>62</v>
      </c>
    </row>
    <row r="46" ht="12.75">
      <c r="B46" s="665" t="s">
        <v>104</v>
      </c>
    </row>
    <row r="47" ht="12.75">
      <c r="B47" s="665" t="s">
        <v>105</v>
      </c>
    </row>
    <row r="48" ht="12.75">
      <c r="B48" s="665" t="s">
        <v>106</v>
      </c>
    </row>
    <row r="49" ht="12.75">
      <c r="B49" s="665" t="s">
        <v>96</v>
      </c>
    </row>
    <row r="51" ht="12.75">
      <c r="B51" s="781" t="s">
        <v>69</v>
      </c>
    </row>
    <row r="53" ht="78.75">
      <c r="B53" s="846" t="s">
        <v>311</v>
      </c>
    </row>
    <row r="55" ht="39">
      <c r="B55" s="666" t="s">
        <v>95</v>
      </c>
    </row>
    <row r="56" ht="66">
      <c r="B56" s="799" t="s">
        <v>83</v>
      </c>
    </row>
    <row r="57" ht="26.25">
      <c r="B57" s="666" t="s">
        <v>84</v>
      </c>
    </row>
    <row r="58" ht="39">
      <c r="B58" s="799" t="s">
        <v>100</v>
      </c>
    </row>
    <row r="59" ht="94.5">
      <c r="B59" s="799" t="s">
        <v>712</v>
      </c>
    </row>
    <row r="60" ht="12.75">
      <c r="B60" s="799"/>
    </row>
    <row r="61" ht="66">
      <c r="B61" s="666" t="s">
        <v>101</v>
      </c>
    </row>
    <row r="78" ht="12.75">
      <c r="B78" s="795" t="s">
        <v>102</v>
      </c>
    </row>
    <row r="79" ht="144.75">
      <c r="B79" s="666" t="s">
        <v>0</v>
      </c>
    </row>
    <row r="80" ht="54.75">
      <c r="B80" s="757" t="s">
        <v>273</v>
      </c>
    </row>
    <row r="81" s="757" customFormat="1" ht="12.75"/>
    <row r="82" s="757" customFormat="1" ht="12.75">
      <c r="B82" s="849" t="s">
        <v>114</v>
      </c>
    </row>
    <row r="83" s="757" customFormat="1" ht="39">
      <c r="B83" s="757" t="s">
        <v>72</v>
      </c>
    </row>
    <row r="84" s="757" customFormat="1" ht="12.75"/>
    <row r="85" ht="39">
      <c r="B85" s="796" t="s">
        <v>103</v>
      </c>
    </row>
    <row r="87" ht="12.75">
      <c r="B87" s="799"/>
    </row>
    <row r="89" ht="12.75">
      <c r="B89" s="799"/>
    </row>
  </sheetData>
  <sheetProtection password="DEC3" sheet="1" objects="1" scenarios="1" selectLockedCells="1"/>
  <hyperlinks>
    <hyperlink ref="B27" r:id="rId1" display="www.ymparisto.fi/download.asp?contentid=69993&amp;lan=FI"/>
    <hyperlink ref="B31" r:id="rId2" display="www.ymparisto.fi/default.asp?node=1364&amp;lan=fi"/>
    <hyperlink ref="B35" r:id="rId3" display="www.ymparisto.fi/download.asp?contentid=80008&amp;lan=en"/>
    <hyperlink ref="B33" r:id="rId4" display="www.ymparisto.fi/download.asp?contentid=84298&amp;lan=Fi"/>
    <hyperlink ref="B29" r:id="rId5" display="www.ymparisto.fi/download.asp?contentid=82328&amp;lan=fi"/>
  </hyperlinks>
  <printOptions/>
  <pageMargins left="0.5905511811023623" right="0.5905511811023623" top="0.5905511811023623" bottom="0.3937007874015748" header="0.31496062992125984" footer="0.31496062992125984"/>
  <pageSetup horizontalDpi="600" verticalDpi="600" orientation="portrait" paperSize="9" r:id="rId6"/>
  <headerFooter alignWithMargins="0">
    <oddHeader>&amp;L&amp;9FutureConstruct® Energia&amp;R&amp;9&amp;P(&amp;N)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Villa Real Ltd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Book3.xls (=3 sheet book)</dc:title>
  <dc:subject/>
  <dc:creator>Olavi Tupamäki</dc:creator>
  <cp:keywords/>
  <dc:description/>
  <cp:lastModifiedBy>Olavi Tupamäki</cp:lastModifiedBy>
  <cp:lastPrinted>2009-01-03T11:54:03Z</cp:lastPrinted>
  <dcterms:created xsi:type="dcterms:W3CDTF">2003-01-26T11:25:55Z</dcterms:created>
  <dcterms:modified xsi:type="dcterms:W3CDTF">2009-01-15T09:53:42Z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